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75" windowHeight="11025" tabRatio="517" firstSheet="2" activeTab="2"/>
  </bookViews>
  <sheets>
    <sheet name="1999-2002" sheetId="1" r:id="rId1"/>
    <sheet name="2003-2013" sheetId="2" r:id="rId2"/>
    <sheet name="2014-2021" sheetId="3" r:id="rId3"/>
  </sheets>
  <definedNames>
    <definedName name="_xlnm.Print_Area" localSheetId="0">'1999-2002'!$A$1:$GP$38</definedName>
    <definedName name="_xlnm.Print_Area" localSheetId="1">'2003-2013'!$B$2:$EA$38</definedName>
  </definedNames>
  <calcPr fullCalcOnLoad="1" fullPrecision="0"/>
</workbook>
</file>

<file path=xl/sharedStrings.xml><?xml version="1.0" encoding="utf-8"?>
<sst xmlns="http://schemas.openxmlformats.org/spreadsheetml/2006/main" count="835" uniqueCount="138">
  <si>
    <t xml:space="preserve">                  1999                </t>
  </si>
  <si>
    <t>I</t>
  </si>
  <si>
    <t>II</t>
  </si>
  <si>
    <t>III</t>
  </si>
  <si>
    <t>IV</t>
  </si>
  <si>
    <t>янв.</t>
  </si>
  <si>
    <t>фев.</t>
  </si>
  <si>
    <t>март</t>
  </si>
  <si>
    <t>апр.</t>
  </si>
  <si>
    <t>май</t>
  </si>
  <si>
    <t>июнь</t>
  </si>
  <si>
    <t>июль</t>
  </si>
  <si>
    <t>авг.</t>
  </si>
  <si>
    <t>окт.</t>
  </si>
  <si>
    <t>нояб.</t>
  </si>
  <si>
    <t>дек.</t>
  </si>
  <si>
    <t>сент.</t>
  </si>
  <si>
    <t>Горнодобывающая промышленность</t>
  </si>
  <si>
    <t>Обрабатывающая промышленность</t>
  </si>
  <si>
    <t xml:space="preserve">                  2001                </t>
  </si>
  <si>
    <t>Всего</t>
  </si>
  <si>
    <t xml:space="preserve">                  2003                </t>
  </si>
  <si>
    <t>Jan.</t>
  </si>
  <si>
    <t>Feb.</t>
  </si>
  <si>
    <t>March</t>
  </si>
  <si>
    <t>April</t>
  </si>
  <si>
    <t>May</t>
  </si>
  <si>
    <t>June</t>
  </si>
  <si>
    <t>July</t>
  </si>
  <si>
    <t>August</t>
  </si>
  <si>
    <t>Sept.</t>
  </si>
  <si>
    <t>Oct.</t>
  </si>
  <si>
    <t>Nov.</t>
  </si>
  <si>
    <t>Dec.</t>
  </si>
  <si>
    <t xml:space="preserve"> (mln soms)</t>
  </si>
  <si>
    <t>Total</t>
  </si>
  <si>
    <t>Mining</t>
  </si>
  <si>
    <t>Manufacturing</t>
  </si>
  <si>
    <t xml:space="preserve">  Textile and wearing apparel industry</t>
  </si>
  <si>
    <t xml:space="preserve">   Manufacture of oil products</t>
  </si>
  <si>
    <t xml:space="preserve">   Chemical industry</t>
  </si>
  <si>
    <t xml:space="preserve">    Other manufacturing industries</t>
  </si>
  <si>
    <t xml:space="preserve">  Quarrying of fuel mineral resources</t>
  </si>
  <si>
    <t>Manufacturing production by Economic Sector</t>
  </si>
  <si>
    <t xml:space="preserve">                  2004                </t>
  </si>
  <si>
    <t xml:space="preserve">                  2005                </t>
  </si>
  <si>
    <t xml:space="preserve">                  2006                </t>
  </si>
  <si>
    <t xml:space="preserve">                 2007     </t>
  </si>
  <si>
    <t xml:space="preserve">                  2002        </t>
  </si>
  <si>
    <t>по месяцам</t>
  </si>
  <si>
    <t xml:space="preserve">  Quarrying of mineral resources,   excluding fuel resources</t>
  </si>
  <si>
    <t xml:space="preserve">    Production of food,including beverages and      and tobacco</t>
  </si>
  <si>
    <t xml:space="preserve">      Manufacture of leather,leather products   and footwear</t>
  </si>
  <si>
    <t xml:space="preserve">      Manufacture of wood and wood products</t>
  </si>
  <si>
    <t xml:space="preserve">  Manufacture of paper,printing and     publishing</t>
  </si>
  <si>
    <t xml:space="preserve">      Manufacture of rubber  and plastic products </t>
  </si>
  <si>
    <t xml:space="preserve">   Manufacture of non-metallic    mineral products</t>
  </si>
  <si>
    <t xml:space="preserve">      Mettalurgy and manufacure  of fabricated metal products </t>
  </si>
  <si>
    <t xml:space="preserve">    Manufacture of electrical     electronic and optical equipment</t>
  </si>
  <si>
    <t xml:space="preserve">     Manufacture of transport facilities and   equipment</t>
  </si>
  <si>
    <t xml:space="preserve">    Manufacture of machinery and    equipment</t>
  </si>
  <si>
    <t xml:space="preserve">  Production and distribution of electricity gas and water</t>
  </si>
  <si>
    <t>Добыча топливно-энергетических полезных ископаемых</t>
  </si>
  <si>
    <t>Добыча полезных ископаемых, кроме топливно энергетических</t>
  </si>
  <si>
    <t>Производство пищевых продуктов, включая   напитки, и табака</t>
  </si>
  <si>
    <t>Текстильное и швейное производство</t>
  </si>
  <si>
    <t>Производство кожи, изделий из кожи и производство обуви</t>
  </si>
  <si>
    <t>Обработка древесины и производство  изделий из дерева</t>
  </si>
  <si>
    <t>Целлюлозно-бумажное производство, издательская деятельность</t>
  </si>
  <si>
    <t>Производство нефтепродуктов</t>
  </si>
  <si>
    <t>Химическое производство</t>
  </si>
  <si>
    <t>Производство резиновых и пластмассовых изделий</t>
  </si>
  <si>
    <t>Производство прочих неметаллических   минеральных продуктов</t>
  </si>
  <si>
    <t>Металлургическое производство и производство готовых металлических изделий</t>
  </si>
  <si>
    <t>Производство машин и оборудования</t>
  </si>
  <si>
    <t>Производство электрооборудования, электронного и оптического оборудования</t>
  </si>
  <si>
    <t xml:space="preserve">Прочие отрасли промышленности </t>
  </si>
  <si>
    <t>Производство и распределение электроэнергии, газа и воды</t>
  </si>
  <si>
    <t xml:space="preserve"> (млн. сомов)</t>
  </si>
  <si>
    <t>Объем производства промышленной продукции по видам экономической деятельности</t>
  </si>
  <si>
    <t>Производство транспортных средств и оборудования</t>
  </si>
  <si>
    <t xml:space="preserve"> (mln. soms)</t>
  </si>
  <si>
    <t xml:space="preserve">                 </t>
  </si>
  <si>
    <t xml:space="preserve">               </t>
  </si>
  <si>
    <t xml:space="preserve">             </t>
  </si>
  <si>
    <t xml:space="preserve">           </t>
  </si>
  <si>
    <t xml:space="preserve">                                                                                                       </t>
  </si>
  <si>
    <t xml:space="preserve">                                                                                 </t>
  </si>
  <si>
    <t xml:space="preserve">                </t>
  </si>
  <si>
    <t xml:space="preserve">         </t>
  </si>
  <si>
    <t xml:space="preserve">                    </t>
  </si>
  <si>
    <t xml:space="preserve">                            </t>
  </si>
  <si>
    <t xml:space="preserve">                                                </t>
  </si>
  <si>
    <t xml:space="preserve">                                                    </t>
  </si>
  <si>
    <t xml:space="preserve">                                   </t>
  </si>
  <si>
    <t xml:space="preserve">     </t>
  </si>
  <si>
    <t xml:space="preserve">                               </t>
  </si>
  <si>
    <t xml:space="preserve">                                                                                           </t>
  </si>
  <si>
    <t xml:space="preserve">                                                              </t>
  </si>
  <si>
    <t xml:space="preserve">                  </t>
  </si>
  <si>
    <t xml:space="preserve">                   </t>
  </si>
  <si>
    <t xml:space="preserve">                                        </t>
  </si>
  <si>
    <t xml:space="preserve">                                                                    </t>
  </si>
  <si>
    <t xml:space="preserve">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</si>
  <si>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</si>
  <si>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сен.</t>
  </si>
  <si>
    <t>I.Добыча полезных ископаемых</t>
  </si>
  <si>
    <t>А.Добыча каменного угля и бурого угля (лигнита)</t>
  </si>
  <si>
    <t>Б.Добыча сырой нефти и природного газа</t>
  </si>
  <si>
    <t>В.Добыча металлических руд</t>
  </si>
  <si>
    <t>Г.Добыча прочих полезных ископаемых</t>
  </si>
  <si>
    <t>II.Обрабатывающие производства</t>
  </si>
  <si>
    <t>Б.Текстильное производство; производство одежды и обуви, кожи и прочих кожаных изделий</t>
  </si>
  <si>
    <t>В.Производство деревянных и бумажных изделий; полиграфическая деятельность</t>
  </si>
  <si>
    <t>Г.Производство кокса и очищенных нефтепродуктов</t>
  </si>
  <si>
    <t>Д.Производство химической продукции</t>
  </si>
  <si>
    <t>Е.Производство фармацевтической продукции</t>
  </si>
  <si>
    <t>Ж.Производство резиновых и пластмассовых изделий, прочих неметаллических минеральных продуктов</t>
  </si>
  <si>
    <t>З.Производство основных металлов и готовых металлических изделий, кроме машин и оборудования</t>
  </si>
  <si>
    <t>И.Производство компьютеров, электронного и оптического оборудования</t>
  </si>
  <si>
    <t>К.Производство электрического оборудования</t>
  </si>
  <si>
    <t>Л.Производство машин и оборудования</t>
  </si>
  <si>
    <t>М.Производство транспортных средств</t>
  </si>
  <si>
    <t>Н.Прочие производства, ремонт и установка машин и оборудования</t>
  </si>
  <si>
    <t>III.Обеспечение электроэнергией, газом, паром и кондиционированным воздухом</t>
  </si>
  <si>
    <t>А.Производство электроэнергии,ее передача и распределение</t>
  </si>
  <si>
    <t>В.Обеспечение(снабжение) паром и кондиционированным воздухом</t>
  </si>
  <si>
    <t>IV.Водоснабжение, очистка, обработка отходов и получение вторичного сырья</t>
  </si>
  <si>
    <t>А.Сбор, обработка и распределение воды (водоснабжение)</t>
  </si>
  <si>
    <t>В.Сбор, обработка и уничтожение отходов, получение вторичного сырья</t>
  </si>
  <si>
    <t>Г.Обеззараживание и прочая обработка отходов</t>
  </si>
  <si>
    <t xml:space="preserve">                  2014                </t>
  </si>
  <si>
    <t>А.Производство пищевых продуктов (включая напитки) и табачных изделий</t>
  </si>
  <si>
    <t>Б. Сбор и обработка сточных вод</t>
  </si>
  <si>
    <t>Б.Производство газа; распределение газообразного топлива через системы газоснабжения</t>
  </si>
  <si>
    <t>янв</t>
  </si>
  <si>
    <t>фев</t>
  </si>
  <si>
    <t>апрель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</si>
</sst>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kr&quot;\ #,##0_);\(&quot;kr&quot;\ #,##0\)"/>
    <numFmt numFmtId="181" formatCode="&quot;kr&quot;\ #,##0_);[Red]\(&quot;kr&quot;\ #,##0\)"/>
    <numFmt numFmtId="182" formatCode="&quot;kr&quot;\ #,##0.00_);\(&quot;kr&quot;\ #,##0.00\)"/>
    <numFmt numFmtId="183" formatCode="&quot;kr&quot;\ #,##0.00_);[Red]\(&quot;kr&quot;\ #,##0.00\)"/>
    <numFmt numFmtId="184" formatCode="_(&quot;kr&quot;\ * #,##0_);_(&quot;kr&quot;\ * \(#,##0\);_(&quot;kr&quot;\ * &quot;-&quot;_);_(@_)"/>
    <numFmt numFmtId="185" formatCode="_(* #,##0_);_(* \(#,##0\);_(* &quot;-&quot;_);_(@_)"/>
    <numFmt numFmtId="186" formatCode="_(&quot;kr&quot;\ * #,##0.00_);_(&quot;kr&quot;\ * \(#,##0.00\);_(&quot;kr&quot;\ 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0.00000"/>
    <numFmt numFmtId="192" formatCode="0.0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"/>
    <numFmt numFmtId="198" formatCode="[$-FC19]d\ mmmm\ yyyy\ &quot;г.&quot;"/>
    <numFmt numFmtId="199" formatCode="#,##0.00\ &quot;₽&quot;"/>
    <numFmt numFmtId="200" formatCode="_-* #,##0.0_р_._-;\-* #,##0.0_р_._-;_-* &quot;-&quot;??_р_._-;_-@_-"/>
    <numFmt numFmtId="201" formatCode="_-* #,##0.0\ _₽_-;\-* #,##0.0\ _₽_-;_-* &quot;-&quot;?\ _₽_-;_-@_-"/>
    <numFmt numFmtId="202" formatCode="_(* #,##0.0_);_(* \(#,##0.0\);_(* &quot;-&quot;??_);_(@_)"/>
    <numFmt numFmtId="203" formatCode="_-* #,##0.0\ _р_._-;\-* #,##0.0\ _р_._-;_-* &quot;-&quot;??\ _р_._-;_-@_-"/>
    <numFmt numFmtId="204" formatCode="#,##0.0\ _₽"/>
    <numFmt numFmtId="205" formatCode="_-* #,##0\ _р_._-;\-* #,##0\ _р_._-;_-* &quot;-&quot;??\ _р_._-;_-@_-"/>
  </numFmts>
  <fonts count="74">
    <font>
      <sz val="10"/>
      <name val="Arial Cyr"/>
      <family val="0"/>
    </font>
    <font>
      <sz val="12"/>
      <color indexed="24"/>
      <name val="Symbol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b/>
      <sz val="10"/>
      <name val="Times New Roman"/>
      <family val="1"/>
    </font>
    <font>
      <b/>
      <u val="single"/>
      <sz val="9"/>
      <color indexed="8"/>
      <name val="Times New Roman"/>
      <family val="1"/>
    </font>
    <font>
      <b/>
      <sz val="10"/>
      <color indexed="10"/>
      <name val="Times New Roman"/>
      <family val="1"/>
    </font>
    <font>
      <sz val="9"/>
      <color indexed="8"/>
      <name val="Times New Roman"/>
      <family val="1"/>
    </font>
    <font>
      <b/>
      <u val="single"/>
      <sz val="9"/>
      <color indexed="10"/>
      <name val="Times New Roman"/>
      <family val="1"/>
    </font>
    <font>
      <b/>
      <sz val="10"/>
      <color indexed="12"/>
      <name val="Times New Roman"/>
      <family val="1"/>
    </font>
    <font>
      <sz val="9"/>
      <name val="Kyrghyz Times"/>
      <family val="0"/>
    </font>
    <font>
      <b/>
      <u val="single"/>
      <sz val="9"/>
      <name val="Times New Roman"/>
      <family val="1"/>
    </font>
    <font>
      <sz val="9"/>
      <name val="Arial Cyr"/>
      <family val="0"/>
    </font>
    <font>
      <b/>
      <sz val="9"/>
      <color indexed="10"/>
      <name val="Arial Cyr"/>
      <family val="0"/>
    </font>
    <font>
      <sz val="9"/>
      <color indexed="12"/>
      <name val="Times New Roman"/>
      <family val="1"/>
    </font>
    <font>
      <b/>
      <sz val="9"/>
      <color indexed="12"/>
      <name val="Times New Roman"/>
      <family val="1"/>
    </font>
    <font>
      <sz val="10"/>
      <color indexed="12"/>
      <name val="Times New Roman"/>
      <family val="1"/>
    </font>
    <font>
      <b/>
      <u val="single"/>
      <sz val="9"/>
      <color indexed="12"/>
      <name val="Times New Roman"/>
      <family val="1"/>
    </font>
    <font>
      <b/>
      <sz val="9"/>
      <name val="Arial Cyr"/>
      <family val="0"/>
    </font>
    <font>
      <sz val="9"/>
      <color indexed="12"/>
      <name val="Arial Cyr"/>
      <family val="0"/>
    </font>
    <font>
      <b/>
      <sz val="9"/>
      <name val="Kyrghyz Times"/>
      <family val="0"/>
    </font>
    <font>
      <sz val="9"/>
      <color indexed="40"/>
      <name val="Times New Roman"/>
      <family val="1"/>
    </font>
    <font>
      <b/>
      <sz val="9"/>
      <color indexed="40"/>
      <name val="Times New Roman"/>
      <family val="1"/>
    </font>
    <font>
      <sz val="8"/>
      <name val="Arial Cyr"/>
      <family val="0"/>
    </font>
    <font>
      <u val="single"/>
      <sz val="9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b/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rgb="FF0070C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0" fillId="0" borderId="0">
      <alignment/>
      <protection/>
    </xf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88" fontId="1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384">
    <xf numFmtId="0" fontId="0" fillId="0" borderId="0" xfId="0" applyAlignment="1">
      <alignment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7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8" fillId="0" borderId="11" xfId="33" applyFont="1" applyFill="1" applyBorder="1" applyAlignment="1">
      <alignment horizontal="left"/>
      <protection/>
    </xf>
    <xf numFmtId="0" fontId="8" fillId="0" borderId="0" xfId="0" applyFont="1" applyAlignment="1">
      <alignment/>
    </xf>
    <xf numFmtId="0" fontId="10" fillId="0" borderId="0" xfId="0" applyFont="1" applyBorder="1" applyAlignment="1">
      <alignment horizontal="right"/>
    </xf>
    <xf numFmtId="1" fontId="11" fillId="0" borderId="11" xfId="63" applyNumberFormat="1" applyFont="1" applyBorder="1" applyAlignment="1" quotePrefix="1">
      <alignment horizontal="centerContinuous" vertical="center"/>
      <protection/>
    </xf>
    <xf numFmtId="1" fontId="11" fillId="0" borderId="11" xfId="63" applyNumberFormat="1" applyFont="1" applyBorder="1" applyAlignment="1" quotePrefix="1">
      <alignment horizontal="center" vertical="center"/>
      <protection/>
    </xf>
    <xf numFmtId="1" fontId="11" fillId="0" borderId="0" xfId="63" applyNumberFormat="1" applyFont="1" applyBorder="1" applyAlignment="1" quotePrefix="1">
      <alignment horizontal="center" vertical="center"/>
      <protection/>
    </xf>
    <xf numFmtId="0" fontId="5" fillId="0" borderId="0" xfId="0" applyFont="1" applyAlignment="1">
      <alignment/>
    </xf>
    <xf numFmtId="188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/>
    </xf>
    <xf numFmtId="188" fontId="8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 vertical="center"/>
    </xf>
    <xf numFmtId="0" fontId="5" fillId="0" borderId="0" xfId="0" applyFont="1" applyAlignment="1">
      <alignment wrapText="1"/>
    </xf>
    <xf numFmtId="188" fontId="5" fillId="0" borderId="0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/>
    </xf>
    <xf numFmtId="0" fontId="8" fillId="0" borderId="0" xfId="0" applyFont="1" applyAlignment="1">
      <alignment vertical="justify" wrapText="1"/>
    </xf>
    <xf numFmtId="188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wrapText="1"/>
    </xf>
    <xf numFmtId="0" fontId="8" fillId="0" borderId="0" xfId="0" applyFont="1" applyBorder="1" applyAlignment="1">
      <alignment vertical="center"/>
    </xf>
    <xf numFmtId="0" fontId="8" fillId="0" borderId="0" xfId="55" applyFont="1" applyBorder="1">
      <alignment/>
      <protection/>
    </xf>
    <xf numFmtId="188" fontId="8" fillId="0" borderId="0" xfId="0" applyNumberFormat="1" applyFont="1" applyFill="1" applyBorder="1" applyAlignment="1">
      <alignment/>
    </xf>
    <xf numFmtId="0" fontId="5" fillId="0" borderId="12" xfId="0" applyFont="1" applyBorder="1" applyAlignment="1">
      <alignment horizontal="right" vertical="center"/>
    </xf>
    <xf numFmtId="0" fontId="8" fillId="0" borderId="12" xfId="33" applyFont="1" applyFill="1" applyBorder="1" applyAlignment="1" quotePrefix="1">
      <alignment horizontal="right" vertical="center"/>
      <protection/>
    </xf>
    <xf numFmtId="0" fontId="8" fillId="0" borderId="12" xfId="33" applyFont="1" applyFill="1" applyBorder="1" applyAlignment="1">
      <alignment horizontal="right" vertical="center"/>
      <protection/>
    </xf>
    <xf numFmtId="0" fontId="8" fillId="0" borderId="12" xfId="33" applyFont="1" applyFill="1" applyBorder="1" applyAlignment="1">
      <alignment horizontal="right"/>
      <protection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12" xfId="33" applyFont="1" applyFill="1" applyBorder="1" applyAlignment="1" quotePrefix="1">
      <alignment horizontal="right" vertical="center"/>
      <protection/>
    </xf>
    <xf numFmtId="188" fontId="5" fillId="0" borderId="0" xfId="0" applyNumberFormat="1" applyFont="1" applyBorder="1" applyAlignment="1">
      <alignment/>
    </xf>
    <xf numFmtId="1" fontId="14" fillId="0" borderId="11" xfId="63" applyNumberFormat="1" applyFont="1" applyBorder="1" applyAlignment="1" quotePrefix="1">
      <alignment horizontal="centerContinuous" vertical="center"/>
      <protection/>
    </xf>
    <xf numFmtId="0" fontId="8" fillId="0" borderId="0" xfId="0" applyFont="1" applyBorder="1" applyAlignment="1">
      <alignment/>
    </xf>
    <xf numFmtId="188" fontId="8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8" fillId="0" borderId="12" xfId="33" applyNumberFormat="1" applyFont="1" applyFill="1" applyBorder="1" applyAlignment="1">
      <alignment horizontal="right"/>
      <protection/>
    </xf>
    <xf numFmtId="0" fontId="8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/>
    </xf>
    <xf numFmtId="188" fontId="8" fillId="0" borderId="0" xfId="0" applyNumberFormat="1" applyFont="1" applyFill="1" applyBorder="1" applyAlignment="1">
      <alignment vertical="center"/>
    </xf>
    <xf numFmtId="0" fontId="16" fillId="0" borderId="0" xfId="0" applyFont="1" applyAlignment="1">
      <alignment horizontal="right" wrapText="1"/>
    </xf>
    <xf numFmtId="188" fontId="9" fillId="0" borderId="0" xfId="0" applyNumberFormat="1" applyFont="1" applyBorder="1" applyAlignment="1">
      <alignment/>
    </xf>
    <xf numFmtId="188" fontId="9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8" fillId="0" borderId="0" xfId="33" applyFont="1" applyFill="1" applyBorder="1" applyAlignment="1" quotePrefix="1">
      <alignment horizontal="right" vertical="center"/>
      <protection/>
    </xf>
    <xf numFmtId="0" fontId="8" fillId="0" borderId="0" xfId="33" applyFont="1" applyFill="1" applyBorder="1" applyAlignment="1">
      <alignment horizontal="right" vertical="center"/>
      <protection/>
    </xf>
    <xf numFmtId="0" fontId="9" fillId="0" borderId="0" xfId="33" applyFont="1" applyFill="1" applyBorder="1" applyAlignment="1" quotePrefix="1">
      <alignment horizontal="right" vertical="center"/>
      <protection/>
    </xf>
    <xf numFmtId="0" fontId="8" fillId="0" borderId="0" xfId="33" applyFont="1" applyFill="1" applyBorder="1" applyAlignment="1">
      <alignment horizontal="right"/>
      <protection/>
    </xf>
    <xf numFmtId="0" fontId="8" fillId="0" borderId="0" xfId="33" applyNumberFormat="1" applyFont="1" applyFill="1" applyBorder="1" applyAlignment="1">
      <alignment horizontal="right"/>
      <protection/>
    </xf>
    <xf numFmtId="0" fontId="9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8" fillId="0" borderId="0" xfId="0" applyNumberFormat="1" applyFont="1" applyBorder="1" applyAlignment="1">
      <alignment horizontal="left" vertical="center"/>
    </xf>
    <xf numFmtId="0" fontId="8" fillId="0" borderId="0" xfId="33" applyFont="1" applyFill="1" applyBorder="1" applyAlignment="1">
      <alignment horizontal="left"/>
      <protection/>
    </xf>
    <xf numFmtId="1" fontId="11" fillId="0" borderId="0" xfId="63" applyNumberFormat="1" applyFont="1" applyBorder="1" applyAlignment="1" quotePrefix="1">
      <alignment horizontal="centerContinuous" vertical="center"/>
      <protection/>
    </xf>
    <xf numFmtId="1" fontId="14" fillId="0" borderId="0" xfId="63" applyNumberFormat="1" applyFont="1" applyBorder="1" applyAlignment="1" quotePrefix="1">
      <alignment horizontal="centerContinuous" vertical="center"/>
      <protection/>
    </xf>
    <xf numFmtId="1" fontId="14" fillId="0" borderId="0" xfId="63" applyNumberFormat="1" applyFont="1" applyBorder="1" applyAlignment="1" quotePrefix="1">
      <alignment horizontal="center" vertical="center"/>
      <protection/>
    </xf>
    <xf numFmtId="0" fontId="12" fillId="0" borderId="0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15" fillId="0" borderId="0" xfId="0" applyNumberFormat="1" applyFont="1" applyBorder="1" applyAlignment="1">
      <alignment horizontal="right"/>
    </xf>
    <xf numFmtId="0" fontId="9" fillId="0" borderId="0" xfId="0" applyFont="1" applyFill="1" applyBorder="1" applyAlignment="1">
      <alignment horizontal="right" vertical="center"/>
    </xf>
    <xf numFmtId="188" fontId="8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/>
    </xf>
    <xf numFmtId="188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188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 vertical="center"/>
    </xf>
    <xf numFmtId="188" fontId="6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0" fontId="8" fillId="0" borderId="0" xfId="55" applyFont="1" applyBorder="1" applyAlignment="1">
      <alignment/>
      <protection/>
    </xf>
    <xf numFmtId="0" fontId="8" fillId="0" borderId="0" xfId="0" applyFont="1" applyBorder="1" applyAlignment="1">
      <alignment/>
    </xf>
    <xf numFmtId="188" fontId="9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88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188" fontId="6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88" fontId="6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188" fontId="5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 vertical="justify"/>
    </xf>
    <xf numFmtId="0" fontId="5" fillId="0" borderId="0" xfId="0" applyFont="1" applyBorder="1" applyAlignment="1">
      <alignment vertical="justify"/>
    </xf>
    <xf numFmtId="0" fontId="5" fillId="0" borderId="0" xfId="0" applyFont="1" applyBorder="1" applyAlignment="1">
      <alignment horizontal="left" vertical="justify"/>
    </xf>
    <xf numFmtId="0" fontId="13" fillId="0" borderId="0" xfId="0" applyFont="1" applyBorder="1" applyAlignment="1">
      <alignment/>
    </xf>
    <xf numFmtId="188" fontId="13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right" wrapText="1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wrapText="1"/>
    </xf>
    <xf numFmtId="188" fontId="8" fillId="0" borderId="0" xfId="33" applyNumberFormat="1" applyFont="1" applyFill="1" applyBorder="1" applyAlignment="1">
      <alignment horizontal="right" vertical="center"/>
      <protection/>
    </xf>
    <xf numFmtId="188" fontId="8" fillId="0" borderId="0" xfId="0" applyNumberFormat="1" applyFont="1" applyBorder="1" applyAlignment="1">
      <alignment horizontal="left" vertical="center"/>
    </xf>
    <xf numFmtId="188" fontId="11" fillId="0" borderId="0" xfId="63" applyNumberFormat="1" applyFont="1" applyBorder="1" applyAlignment="1" quotePrefix="1">
      <alignment horizontal="center" vertical="center"/>
      <protection/>
    </xf>
    <xf numFmtId="188" fontId="10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9" fillId="0" borderId="12" xfId="33" applyFont="1" applyFill="1" applyBorder="1" applyAlignment="1">
      <alignment horizontal="right"/>
      <protection/>
    </xf>
    <xf numFmtId="0" fontId="9" fillId="0" borderId="0" xfId="0" applyFont="1" applyBorder="1" applyAlignment="1">
      <alignment/>
    </xf>
    <xf numFmtId="0" fontId="9" fillId="0" borderId="0" xfId="33" applyFont="1" applyFill="1" applyBorder="1" applyAlignment="1">
      <alignment horizontal="right"/>
      <protection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197" fontId="8" fillId="0" borderId="0" xfId="0" applyNumberFormat="1" applyFont="1" applyBorder="1" applyAlignment="1">
      <alignment/>
    </xf>
    <xf numFmtId="197" fontId="5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right"/>
    </xf>
    <xf numFmtId="197" fontId="8" fillId="0" borderId="0" xfId="0" applyNumberFormat="1" applyFont="1" applyAlignment="1">
      <alignment horizontal="right"/>
    </xf>
    <xf numFmtId="197" fontId="9" fillId="0" borderId="0" xfId="0" applyNumberFormat="1" applyFont="1" applyAlignment="1">
      <alignment horizontal="right"/>
    </xf>
    <xf numFmtId="197" fontId="8" fillId="0" borderId="0" xfId="0" applyNumberFormat="1" applyFont="1" applyAlignment="1">
      <alignment horizontal="right"/>
    </xf>
    <xf numFmtId="197" fontId="9" fillId="0" borderId="0" xfId="0" applyNumberFormat="1" applyFont="1" applyFill="1" applyAlignment="1">
      <alignment horizontal="right"/>
    </xf>
    <xf numFmtId="197" fontId="5" fillId="0" borderId="0" xfId="0" applyNumberFormat="1" applyFont="1" applyAlignment="1">
      <alignment horizontal="right"/>
    </xf>
    <xf numFmtId="197" fontId="6" fillId="0" borderId="0" xfId="0" applyNumberFormat="1" applyFont="1" applyAlignment="1">
      <alignment horizontal="right"/>
    </xf>
    <xf numFmtId="197" fontId="8" fillId="0" borderId="0" xfId="0" applyNumberFormat="1" applyFont="1" applyFill="1" applyAlignment="1">
      <alignment horizontal="right"/>
    </xf>
    <xf numFmtId="197" fontId="5" fillId="0" borderId="0" xfId="0" applyNumberFormat="1" applyFont="1" applyFill="1" applyAlignment="1">
      <alignment horizontal="right"/>
    </xf>
    <xf numFmtId="197" fontId="8" fillId="0" borderId="0" xfId="0" applyNumberFormat="1" applyFont="1" applyBorder="1" applyAlignment="1">
      <alignment horizontal="right"/>
    </xf>
    <xf numFmtId="197" fontId="5" fillId="0" borderId="0" xfId="0" applyNumberFormat="1" applyFont="1" applyBorder="1" applyAlignment="1">
      <alignment horizontal="right"/>
    </xf>
    <xf numFmtId="197" fontId="6" fillId="0" borderId="0" xfId="0" applyNumberFormat="1" applyFont="1" applyAlignment="1">
      <alignment horizontal="right"/>
    </xf>
    <xf numFmtId="197" fontId="5" fillId="0" borderId="0" xfId="0" applyNumberFormat="1" applyFont="1" applyAlignment="1">
      <alignment horizontal="right"/>
    </xf>
    <xf numFmtId="197" fontId="5" fillId="0" borderId="0" xfId="0" applyNumberFormat="1" applyFont="1" applyFill="1" applyAlignment="1">
      <alignment horizontal="right"/>
    </xf>
    <xf numFmtId="197" fontId="6" fillId="0" borderId="0" xfId="0" applyNumberFormat="1" applyFont="1" applyFill="1" applyAlignment="1">
      <alignment horizontal="right"/>
    </xf>
    <xf numFmtId="197" fontId="16" fillId="0" borderId="0" xfId="0" applyNumberFormat="1" applyFont="1" applyAlignment="1">
      <alignment horizontal="right" wrapText="1"/>
    </xf>
    <xf numFmtId="197" fontId="13" fillId="0" borderId="0" xfId="0" applyNumberFormat="1" applyFont="1" applyAlignment="1">
      <alignment horizontal="right"/>
    </xf>
    <xf numFmtId="197" fontId="5" fillId="0" borderId="0" xfId="0" applyNumberFormat="1" applyFont="1" applyFill="1" applyBorder="1" applyAlignment="1">
      <alignment horizontal="right"/>
    </xf>
    <xf numFmtId="0" fontId="19" fillId="0" borderId="11" xfId="0" applyFont="1" applyBorder="1" applyAlignment="1">
      <alignment/>
    </xf>
    <xf numFmtId="0" fontId="8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8" fillId="0" borderId="10" xfId="55" applyFont="1" applyBorder="1" applyAlignment="1">
      <alignment wrapText="1"/>
      <protection/>
    </xf>
    <xf numFmtId="197" fontId="8" fillId="0" borderId="10" xfId="0" applyNumberFormat="1" applyFont="1" applyBorder="1" applyAlignment="1">
      <alignment horizontal="right"/>
    </xf>
    <xf numFmtId="197" fontId="9" fillId="0" borderId="10" xfId="0" applyNumberFormat="1" applyFont="1" applyBorder="1" applyAlignment="1">
      <alignment horizontal="right"/>
    </xf>
    <xf numFmtId="197" fontId="5" fillId="0" borderId="10" xfId="0" applyNumberFormat="1" applyFont="1" applyBorder="1" applyAlignment="1">
      <alignment horizontal="right"/>
    </xf>
    <xf numFmtId="197" fontId="8" fillId="0" borderId="10" xfId="0" applyNumberFormat="1" applyFont="1" applyFill="1" applyBorder="1" applyAlignment="1">
      <alignment horizontal="right"/>
    </xf>
    <xf numFmtId="197" fontId="8" fillId="0" borderId="10" xfId="0" applyNumberFormat="1" applyFont="1" applyBorder="1" applyAlignment="1">
      <alignment horizontal="right"/>
    </xf>
    <xf numFmtId="197" fontId="9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0" fontId="5" fillId="0" borderId="0" xfId="0" applyFont="1" applyAlignment="1">
      <alignment horizontal="left" wrapText="1" indent="1"/>
    </xf>
    <xf numFmtId="0" fontId="8" fillId="0" borderId="0" xfId="0" applyFont="1" applyFill="1" applyBorder="1" applyAlignment="1">
      <alignment horizontal="left" wrapText="1" indent="1"/>
    </xf>
    <xf numFmtId="0" fontId="8" fillId="0" borderId="10" xfId="55" applyFont="1" applyBorder="1" applyAlignment="1">
      <alignment horizontal="left" wrapText="1"/>
      <protection/>
    </xf>
    <xf numFmtId="0" fontId="4" fillId="0" borderId="0" xfId="0" applyFont="1" applyAlignment="1">
      <alignment horizontal="left"/>
    </xf>
    <xf numFmtId="197" fontId="5" fillId="0" borderId="0" xfId="0" applyNumberFormat="1" applyFont="1" applyAlignment="1">
      <alignment/>
    </xf>
    <xf numFmtId="0" fontId="8" fillId="0" borderId="0" xfId="0" applyFont="1" applyBorder="1" applyAlignment="1">
      <alignment horizontal="right" wrapText="1"/>
    </xf>
    <xf numFmtId="0" fontId="20" fillId="0" borderId="0" xfId="0" applyFont="1" applyBorder="1" applyAlignment="1">
      <alignment vertical="center"/>
    </xf>
    <xf numFmtId="0" fontId="20" fillId="0" borderId="10" xfId="0" applyFont="1" applyFill="1" applyBorder="1" applyAlignment="1">
      <alignment/>
    </xf>
    <xf numFmtId="0" fontId="21" fillId="0" borderId="12" xfId="33" applyFont="1" applyFill="1" applyBorder="1" applyAlignment="1" quotePrefix="1">
      <alignment horizontal="right" vertical="center"/>
      <protection/>
    </xf>
    <xf numFmtId="0" fontId="21" fillId="0" borderId="0" xfId="0" applyFont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1" xfId="0" applyFont="1" applyBorder="1" applyAlignment="1">
      <alignment horizontal="right"/>
    </xf>
    <xf numFmtId="0" fontId="21" fillId="0" borderId="10" xfId="0" applyFont="1" applyBorder="1" applyAlignment="1">
      <alignment horizontal="right"/>
    </xf>
    <xf numFmtId="188" fontId="20" fillId="0" borderId="0" xfId="0" applyNumberFormat="1" applyFont="1" applyAlignment="1">
      <alignment/>
    </xf>
    <xf numFmtId="197" fontId="21" fillId="0" borderId="0" xfId="0" applyNumberFormat="1" applyFont="1" applyAlignment="1">
      <alignment horizontal="right"/>
    </xf>
    <xf numFmtId="197" fontId="20" fillId="0" borderId="0" xfId="0" applyNumberFormat="1" applyFont="1" applyAlignment="1">
      <alignment horizontal="right"/>
    </xf>
    <xf numFmtId="197" fontId="21" fillId="0" borderId="10" xfId="0" applyNumberFormat="1" applyFont="1" applyBorder="1" applyAlignment="1">
      <alignment horizontal="right"/>
    </xf>
    <xf numFmtId="188" fontId="21" fillId="0" borderId="0" xfId="0" applyNumberFormat="1" applyFont="1" applyBorder="1" applyAlignment="1">
      <alignment/>
    </xf>
    <xf numFmtId="188" fontId="21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0" xfId="33" applyFont="1" applyFill="1" applyBorder="1" applyAlignment="1" quotePrefix="1">
      <alignment horizontal="right" vertical="center"/>
      <protection/>
    </xf>
    <xf numFmtId="188" fontId="2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20" fillId="0" borderId="11" xfId="0" applyFont="1" applyBorder="1" applyAlignment="1">
      <alignment/>
    </xf>
    <xf numFmtId="0" fontId="22" fillId="0" borderId="0" xfId="0" applyFont="1" applyBorder="1" applyAlignment="1">
      <alignment/>
    </xf>
    <xf numFmtId="0" fontId="20" fillId="0" borderId="10" xfId="0" applyFont="1" applyBorder="1" applyAlignment="1">
      <alignment vertical="center"/>
    </xf>
    <xf numFmtId="197" fontId="20" fillId="0" borderId="0" xfId="0" applyNumberFormat="1" applyFont="1" applyFill="1" applyAlignment="1">
      <alignment horizontal="right"/>
    </xf>
    <xf numFmtId="188" fontId="20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/>
    </xf>
    <xf numFmtId="197" fontId="8" fillId="0" borderId="0" xfId="0" applyNumberFormat="1" applyFont="1" applyAlignment="1">
      <alignment/>
    </xf>
    <xf numFmtId="197" fontId="8" fillId="0" borderId="10" xfId="0" applyNumberFormat="1" applyFont="1" applyBorder="1" applyAlignment="1">
      <alignment/>
    </xf>
    <xf numFmtId="197" fontId="5" fillId="0" borderId="0" xfId="0" applyNumberFormat="1" applyFont="1" applyAlignment="1">
      <alignment/>
    </xf>
    <xf numFmtId="188" fontId="8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88" fontId="8" fillId="0" borderId="10" xfId="0" applyNumberFormat="1" applyFont="1" applyBorder="1" applyAlignment="1">
      <alignment/>
    </xf>
    <xf numFmtId="1" fontId="17" fillId="0" borderId="11" xfId="63" applyNumberFormat="1" applyFont="1" applyBorder="1" applyAlignment="1" quotePrefix="1">
      <alignment horizontal="center" vertical="center"/>
      <protection/>
    </xf>
    <xf numFmtId="1" fontId="23" fillId="0" borderId="11" xfId="63" applyNumberFormat="1" applyFont="1" applyBorder="1" applyAlignment="1" quotePrefix="1">
      <alignment horizontal="center" vertical="center"/>
      <protection/>
    </xf>
    <xf numFmtId="0" fontId="8" fillId="0" borderId="10" xfId="0" applyFont="1" applyFill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24" fillId="0" borderId="11" xfId="0" applyFont="1" applyFill="1" applyBorder="1" applyAlignment="1">
      <alignment/>
    </xf>
    <xf numFmtId="0" fontId="8" fillId="0" borderId="0" xfId="0" applyFont="1" applyFill="1" applyAlignment="1">
      <alignment/>
    </xf>
    <xf numFmtId="1" fontId="17" fillId="0" borderId="0" xfId="63" applyNumberFormat="1" applyFont="1" applyBorder="1" applyAlignment="1" quotePrefix="1">
      <alignment horizontal="center" vertical="center"/>
      <protection/>
    </xf>
    <xf numFmtId="188" fontId="17" fillId="0" borderId="0" xfId="63" applyNumberFormat="1" applyFont="1" applyBorder="1" applyAlignment="1" quotePrefix="1">
      <alignment horizontal="center" vertical="center"/>
      <protection/>
    </xf>
    <xf numFmtId="0" fontId="10" fillId="0" borderId="0" xfId="0" applyNumberFormat="1" applyFont="1" applyBorder="1" applyAlignment="1">
      <alignment horizontal="right"/>
    </xf>
    <xf numFmtId="188" fontId="5" fillId="0" borderId="0" xfId="0" applyNumberFormat="1" applyFont="1" applyFill="1" applyBorder="1" applyAlignment="1">
      <alignment horizontal="right"/>
    </xf>
    <xf numFmtId="188" fontId="5" fillId="0" borderId="0" xfId="0" applyNumberFormat="1" applyFont="1" applyFill="1" applyBorder="1" applyAlignment="1">
      <alignment horizontal="right" vertical="center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33" applyFont="1" applyFill="1" applyBorder="1" applyAlignment="1">
      <alignment horizontal="right"/>
      <protection/>
    </xf>
    <xf numFmtId="0" fontId="21" fillId="0" borderId="11" xfId="0" applyFont="1" applyBorder="1" applyAlignment="1">
      <alignment/>
    </xf>
    <xf numFmtId="0" fontId="20" fillId="0" borderId="0" xfId="0" applyFont="1" applyBorder="1" applyAlignment="1">
      <alignment horizontal="right" vertical="center"/>
    </xf>
    <xf numFmtId="0" fontId="21" fillId="0" borderId="12" xfId="33" applyFont="1" applyFill="1" applyBorder="1" applyAlignment="1">
      <alignment horizontal="right"/>
      <protection/>
    </xf>
    <xf numFmtId="188" fontId="21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 vertical="center"/>
    </xf>
    <xf numFmtId="188" fontId="20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right" vertical="center"/>
    </xf>
    <xf numFmtId="188" fontId="20" fillId="0" borderId="0" xfId="0" applyNumberFormat="1" applyFont="1" applyFill="1" applyBorder="1" applyAlignment="1">
      <alignment horizontal="right" vertical="center"/>
    </xf>
    <xf numFmtId="0" fontId="20" fillId="0" borderId="10" xfId="0" applyFont="1" applyBorder="1" applyAlignment="1">
      <alignment/>
    </xf>
    <xf numFmtId="0" fontId="21" fillId="0" borderId="0" xfId="0" applyFont="1" applyAlignment="1">
      <alignment horizontal="left"/>
    </xf>
    <xf numFmtId="197" fontId="21" fillId="0" borderId="0" xfId="0" applyNumberFormat="1" applyFont="1" applyFill="1" applyAlignment="1">
      <alignment horizontal="right"/>
    </xf>
    <xf numFmtId="197" fontId="21" fillId="0" borderId="10" xfId="0" applyNumberFormat="1" applyFont="1" applyFill="1" applyBorder="1" applyAlignment="1">
      <alignment horizontal="right"/>
    </xf>
    <xf numFmtId="188" fontId="21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left"/>
    </xf>
    <xf numFmtId="1" fontId="23" fillId="0" borderId="0" xfId="63" applyNumberFormat="1" applyFont="1" applyBorder="1" applyAlignment="1" quotePrefix="1">
      <alignment horizontal="center" vertical="center"/>
      <protection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20" fillId="0" borderId="0" xfId="0" applyFont="1" applyFill="1" applyAlignment="1">
      <alignment/>
    </xf>
    <xf numFmtId="188" fontId="21" fillId="0" borderId="0" xfId="0" applyNumberFormat="1" applyFont="1" applyFill="1" applyBorder="1" applyAlignment="1">
      <alignment/>
    </xf>
    <xf numFmtId="0" fontId="26" fillId="0" borderId="0" xfId="0" applyFont="1" applyAlignment="1">
      <alignment horizontal="right" wrapText="1"/>
    </xf>
    <xf numFmtId="0" fontId="25" fillId="0" borderId="11" xfId="0" applyFont="1" applyBorder="1" applyAlignment="1">
      <alignment/>
    </xf>
    <xf numFmtId="197" fontId="21" fillId="0" borderId="0" xfId="0" applyNumberFormat="1" applyFont="1" applyFill="1" applyAlignment="1">
      <alignment/>
    </xf>
    <xf numFmtId="0" fontId="23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21" fillId="0" borderId="10" xfId="33" applyFont="1" applyFill="1" applyBorder="1" applyAlignment="1">
      <alignment horizontal="right"/>
      <protection/>
    </xf>
    <xf numFmtId="197" fontId="5" fillId="0" borderId="0" xfId="0" applyNumberFormat="1" applyFont="1" applyFill="1" applyAlignment="1">
      <alignment/>
    </xf>
    <xf numFmtId="197" fontId="8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20" fillId="0" borderId="0" xfId="0" applyFont="1" applyAlignment="1">
      <alignment/>
    </xf>
    <xf numFmtId="197" fontId="21" fillId="0" borderId="0" xfId="0" applyNumberFormat="1" applyFont="1" applyAlignment="1">
      <alignment/>
    </xf>
    <xf numFmtId="197" fontId="20" fillId="0" borderId="0" xfId="0" applyNumberFormat="1" applyFont="1" applyAlignment="1">
      <alignment/>
    </xf>
    <xf numFmtId="197" fontId="21" fillId="0" borderId="0" xfId="0" applyNumberFormat="1" applyFont="1" applyAlignment="1">
      <alignment/>
    </xf>
    <xf numFmtId="197" fontId="20" fillId="0" borderId="0" xfId="0" applyNumberFormat="1" applyFont="1" applyAlignment="1">
      <alignment/>
    </xf>
    <xf numFmtId="197" fontId="21" fillId="0" borderId="1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8" fillId="0" borderId="0" xfId="0" applyFont="1" applyAlignment="1">
      <alignment/>
    </xf>
    <xf numFmtId="0" fontId="21" fillId="0" borderId="10" xfId="0" applyFont="1" applyBorder="1" applyAlignment="1">
      <alignment horizontal="right"/>
    </xf>
    <xf numFmtId="0" fontId="8" fillId="0" borderId="10" xfId="33" applyFont="1" applyFill="1" applyBorder="1" applyAlignment="1">
      <alignment horizontal="right"/>
      <protection/>
    </xf>
    <xf numFmtId="197" fontId="8" fillId="0" borderId="0" xfId="0" applyNumberFormat="1" applyFont="1" applyBorder="1" applyAlignment="1">
      <alignment/>
    </xf>
    <xf numFmtId="197" fontId="8" fillId="0" borderId="0" xfId="0" applyNumberFormat="1" applyFont="1" applyFill="1" applyAlignment="1">
      <alignment horizontal="right"/>
    </xf>
    <xf numFmtId="197" fontId="8" fillId="0" borderId="0" xfId="0" applyNumberFormat="1" applyFont="1" applyAlignment="1">
      <alignment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 indent="1"/>
    </xf>
    <xf numFmtId="197" fontId="8" fillId="0" borderId="0" xfId="0" applyNumberFormat="1" applyFont="1" applyFill="1" applyBorder="1" applyAlignment="1">
      <alignment horizontal="right"/>
    </xf>
    <xf numFmtId="197" fontId="26" fillId="0" borderId="0" xfId="0" applyNumberFormat="1" applyFont="1" applyAlignment="1">
      <alignment horizontal="right" wrapText="1"/>
    </xf>
    <xf numFmtId="0" fontId="8" fillId="0" borderId="0" xfId="0" applyFont="1" applyAlignment="1">
      <alignment horizontal="right"/>
    </xf>
    <xf numFmtId="197" fontId="9" fillId="0" borderId="0" xfId="0" applyNumberFormat="1" applyFont="1" applyFill="1" applyAlignment="1">
      <alignment horizontal="right"/>
    </xf>
    <xf numFmtId="197" fontId="6" fillId="0" borderId="0" xfId="0" applyNumberFormat="1" applyFont="1" applyFill="1" applyAlignment="1">
      <alignment horizontal="right"/>
    </xf>
    <xf numFmtId="197" fontId="9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188" fontId="5" fillId="0" borderId="0" xfId="0" applyNumberFormat="1" applyFont="1" applyFill="1" applyAlignment="1">
      <alignment/>
    </xf>
    <xf numFmtId="0" fontId="16" fillId="0" borderId="0" xfId="0" applyFont="1" applyFill="1" applyBorder="1" applyAlignment="1">
      <alignment horizontal="right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/>
    </xf>
    <xf numFmtId="188" fontId="5" fillId="0" borderId="0" xfId="0" applyNumberFormat="1" applyFont="1" applyAlignment="1">
      <alignment/>
    </xf>
    <xf numFmtId="0" fontId="8" fillId="0" borderId="0" xfId="0" applyFont="1" applyFill="1" applyAlignment="1">
      <alignment wrapText="1"/>
    </xf>
    <xf numFmtId="1" fontId="8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197" fontId="8" fillId="0" borderId="0" xfId="0" applyNumberFormat="1" applyFont="1" applyFill="1" applyBorder="1" applyAlignment="1">
      <alignment horizontal="right"/>
    </xf>
    <xf numFmtId="188" fontId="5" fillId="0" borderId="0" xfId="0" applyNumberFormat="1" applyFont="1" applyBorder="1" applyAlignment="1">
      <alignment/>
    </xf>
    <xf numFmtId="0" fontId="8" fillId="0" borderId="12" xfId="33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/>
    </xf>
    <xf numFmtId="197" fontId="5" fillId="0" borderId="0" xfId="0" applyNumberFormat="1" applyFont="1" applyBorder="1" applyAlignment="1">
      <alignment/>
    </xf>
    <xf numFmtId="197" fontId="0" fillId="0" borderId="0" xfId="0" applyNumberFormat="1" applyAlignment="1">
      <alignment/>
    </xf>
    <xf numFmtId="188" fontId="8" fillId="0" borderId="0" xfId="0" applyNumberFormat="1" applyFont="1" applyAlignment="1">
      <alignment/>
    </xf>
    <xf numFmtId="0" fontId="8" fillId="0" borderId="12" xfId="33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33" applyFont="1" applyFill="1" applyBorder="1" applyAlignment="1">
      <alignment horizontal="right" vertical="center"/>
      <protection/>
    </xf>
    <xf numFmtId="0" fontId="5" fillId="0" borderId="0" xfId="0" applyFont="1" applyBorder="1" applyAlignment="1">
      <alignment horizontal="left" vertical="center"/>
    </xf>
    <xf numFmtId="1" fontId="30" fillId="0" borderId="0" xfId="63" applyNumberFormat="1" applyFont="1" applyBorder="1" applyAlignment="1" quotePrefix="1">
      <alignment horizontal="center" vertical="center"/>
      <protection/>
    </xf>
    <xf numFmtId="0" fontId="31" fillId="0" borderId="0" xfId="0" applyFont="1" applyBorder="1" applyAlignment="1">
      <alignment horizontal="right"/>
    </xf>
    <xf numFmtId="197" fontId="8" fillId="0" borderId="0" xfId="0" applyNumberFormat="1" applyFont="1" applyFill="1" applyAlignment="1">
      <alignment wrapText="1"/>
    </xf>
    <xf numFmtId="1" fontId="23" fillId="0" borderId="11" xfId="63" applyNumberFormat="1" applyFont="1" applyBorder="1" applyAlignment="1" quotePrefix="1">
      <alignment horizontal="center" vertical="center"/>
      <protection/>
    </xf>
    <xf numFmtId="3" fontId="8" fillId="0" borderId="0" xfId="0" applyNumberFormat="1" applyFont="1" applyAlignment="1">
      <alignment horizontal="right"/>
    </xf>
    <xf numFmtId="197" fontId="20" fillId="0" borderId="0" xfId="0" applyNumberFormat="1" applyFont="1" applyFill="1" applyAlignment="1">
      <alignment horizontal="right"/>
    </xf>
    <xf numFmtId="188" fontId="20" fillId="0" borderId="0" xfId="0" applyNumberFormat="1" applyFont="1" applyFill="1" applyBorder="1" applyAlignment="1">
      <alignment/>
    </xf>
    <xf numFmtId="188" fontId="20" fillId="0" borderId="0" xfId="0" applyNumberFormat="1" applyFont="1" applyFill="1" applyBorder="1" applyAlignment="1">
      <alignment/>
    </xf>
    <xf numFmtId="197" fontId="21" fillId="0" borderId="0" xfId="0" applyNumberFormat="1" applyFont="1" applyFill="1" applyAlignment="1">
      <alignment horizontal="right"/>
    </xf>
    <xf numFmtId="197" fontId="21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0" fillId="0" borderId="10" xfId="0" applyBorder="1" applyAlignment="1">
      <alignment/>
    </xf>
    <xf numFmtId="197" fontId="20" fillId="0" borderId="0" xfId="0" applyNumberFormat="1" applyFont="1" applyFill="1" applyAlignment="1">
      <alignment/>
    </xf>
    <xf numFmtId="197" fontId="5" fillId="0" borderId="0" xfId="0" applyNumberFormat="1" applyFont="1" applyBorder="1" applyAlignment="1">
      <alignment vertical="center"/>
    </xf>
    <xf numFmtId="197" fontId="69" fillId="0" borderId="0" xfId="0" applyNumberFormat="1" applyFont="1" applyAlignment="1">
      <alignment horizontal="right"/>
    </xf>
    <xf numFmtId="197" fontId="5" fillId="0" borderId="0" xfId="0" applyNumberFormat="1" applyFont="1" applyBorder="1" applyAlignment="1">
      <alignment vertical="center"/>
    </xf>
    <xf numFmtId="197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wrapText="1" indent="1"/>
    </xf>
    <xf numFmtId="0" fontId="0" fillId="0" borderId="0" xfId="0" applyFill="1" applyAlignment="1">
      <alignment/>
    </xf>
    <xf numFmtId="188" fontId="30" fillId="0" borderId="0" xfId="63" applyNumberFormat="1" applyFont="1" applyBorder="1" applyAlignment="1" quotePrefix="1">
      <alignment horizontal="center" vertical="center"/>
      <protection/>
    </xf>
    <xf numFmtId="0" fontId="8" fillId="0" borderId="12" xfId="33" applyFont="1" applyFill="1" applyBorder="1" applyAlignment="1">
      <alignment horizontal="right" vertical="center"/>
      <protection/>
    </xf>
    <xf numFmtId="0" fontId="8" fillId="0" borderId="0" xfId="0" applyFont="1" applyAlignment="1">
      <alignment horizontal="left" vertical="center"/>
    </xf>
    <xf numFmtId="0" fontId="5" fillId="0" borderId="10" xfId="0" applyFont="1" applyBorder="1" applyAlignment="1">
      <alignment/>
    </xf>
    <xf numFmtId="0" fontId="0" fillId="0" borderId="0" xfId="0" applyBorder="1" applyAlignment="1">
      <alignment/>
    </xf>
    <xf numFmtId="197" fontId="8" fillId="33" borderId="0" xfId="0" applyNumberFormat="1" applyFont="1" applyFill="1" applyAlignment="1">
      <alignment horizontal="right"/>
    </xf>
    <xf numFmtId="197" fontId="5" fillId="0" borderId="0" xfId="0" applyNumberFormat="1" applyFont="1" applyFill="1" applyBorder="1" applyAlignment="1">
      <alignment/>
    </xf>
    <xf numFmtId="188" fontId="31" fillId="0" borderId="0" xfId="0" applyNumberFormat="1" applyFont="1" applyAlignment="1">
      <alignment/>
    </xf>
    <xf numFmtId="0" fontId="8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188" fontId="10" fillId="0" borderId="0" xfId="0" applyNumberFormat="1" applyFont="1" applyAlignment="1">
      <alignment/>
    </xf>
    <xf numFmtId="0" fontId="32" fillId="0" borderId="0" xfId="0" applyFont="1" applyAlignment="1">
      <alignment/>
    </xf>
    <xf numFmtId="197" fontId="8" fillId="33" borderId="0" xfId="0" applyNumberFormat="1" applyFont="1" applyFill="1" applyBorder="1" applyAlignment="1">
      <alignment horizontal="right"/>
    </xf>
    <xf numFmtId="200" fontId="8" fillId="0" borderId="10" xfId="64" applyNumberFormat="1" applyFont="1" applyBorder="1" applyAlignment="1">
      <alignment horizontal="center"/>
    </xf>
    <xf numFmtId="200" fontId="8" fillId="0" borderId="10" xfId="64" applyNumberFormat="1" applyFont="1" applyBorder="1" applyAlignment="1">
      <alignment horizontal="center"/>
    </xf>
    <xf numFmtId="200" fontId="8" fillId="0" borderId="0" xfId="64" applyNumberFormat="1" applyFont="1" applyAlignment="1">
      <alignment horizontal="right"/>
    </xf>
    <xf numFmtId="200" fontId="8" fillId="0" borderId="0" xfId="64" applyNumberFormat="1" applyFont="1" applyAlignment="1">
      <alignment horizontal="right"/>
    </xf>
    <xf numFmtId="200" fontId="5" fillId="0" borderId="0" xfId="64" applyNumberFormat="1" applyFont="1" applyAlignment="1">
      <alignment horizontal="right"/>
    </xf>
    <xf numFmtId="200" fontId="8" fillId="0" borderId="0" xfId="64" applyNumberFormat="1" applyFont="1" applyFill="1" applyAlignment="1">
      <alignment horizontal="right"/>
    </xf>
    <xf numFmtId="200" fontId="8" fillId="0" borderId="0" xfId="64" applyNumberFormat="1" applyFont="1" applyFill="1" applyAlignment="1">
      <alignment horizontal="right"/>
    </xf>
    <xf numFmtId="200" fontId="0" fillId="0" borderId="0" xfId="64" applyNumberFormat="1" applyFont="1" applyAlignment="1">
      <alignment horizontal="right"/>
    </xf>
    <xf numFmtId="200" fontId="5" fillId="0" borderId="0" xfId="64" applyNumberFormat="1" applyFont="1" applyAlignment="1">
      <alignment horizontal="right"/>
    </xf>
    <xf numFmtId="200" fontId="5" fillId="0" borderId="0" xfId="64" applyNumberFormat="1" applyFont="1" applyBorder="1" applyAlignment="1">
      <alignment horizontal="right"/>
    </xf>
    <xf numFmtId="200" fontId="5" fillId="0" borderId="0" xfId="64" applyNumberFormat="1" applyFont="1" applyBorder="1" applyAlignment="1">
      <alignment horizontal="right"/>
    </xf>
    <xf numFmtId="200" fontId="5" fillId="0" borderId="0" xfId="64" applyNumberFormat="1" applyFont="1" applyFill="1" applyBorder="1" applyAlignment="1">
      <alignment horizontal="right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200" fontId="5" fillId="0" borderId="0" xfId="64" applyNumberFormat="1" applyFont="1" applyBorder="1" applyAlignment="1">
      <alignment/>
    </xf>
    <xf numFmtId="200" fontId="5" fillId="0" borderId="0" xfId="64" applyNumberFormat="1" applyFont="1" applyFill="1" applyBorder="1" applyAlignment="1">
      <alignment/>
    </xf>
    <xf numFmtId="200" fontId="0" fillId="0" borderId="0" xfId="64" applyNumberFormat="1" applyFont="1" applyAlignment="1">
      <alignment/>
    </xf>
    <xf numFmtId="200" fontId="8" fillId="0" borderId="0" xfId="64" applyNumberFormat="1" applyFont="1" applyAlignment="1">
      <alignment/>
    </xf>
    <xf numFmtId="200" fontId="5" fillId="0" borderId="0" xfId="64" applyNumberFormat="1" applyFont="1" applyAlignment="1">
      <alignment/>
    </xf>
    <xf numFmtId="200" fontId="5" fillId="0" borderId="0" xfId="64" applyNumberFormat="1" applyFont="1" applyBorder="1" applyAlignment="1">
      <alignment/>
    </xf>
    <xf numFmtId="200" fontId="0" fillId="0" borderId="0" xfId="0" applyNumberFormat="1" applyAlignment="1">
      <alignment/>
    </xf>
    <xf numFmtId="0" fontId="70" fillId="0" borderId="0" xfId="0" applyFont="1" applyAlignment="1">
      <alignment/>
    </xf>
    <xf numFmtId="200" fontId="71" fillId="0" borderId="0" xfId="64" applyNumberFormat="1" applyFont="1" applyAlignment="1">
      <alignment horizontal="right"/>
    </xf>
    <xf numFmtId="200" fontId="72" fillId="0" borderId="0" xfId="64" applyNumberFormat="1" applyFont="1" applyAlignment="1">
      <alignment horizontal="right"/>
    </xf>
    <xf numFmtId="200" fontId="71" fillId="0" borderId="0" xfId="64" applyNumberFormat="1" applyFont="1" applyBorder="1" applyAlignment="1">
      <alignment/>
    </xf>
    <xf numFmtId="200" fontId="5" fillId="0" borderId="0" xfId="64" applyNumberFormat="1" applyFont="1" applyFill="1" applyAlignment="1">
      <alignment/>
    </xf>
    <xf numFmtId="200" fontId="5" fillId="0" borderId="0" xfId="0" applyNumberFormat="1" applyFont="1" applyAlignment="1">
      <alignment wrapText="1"/>
    </xf>
    <xf numFmtId="201" fontId="0" fillId="0" borderId="0" xfId="0" applyNumberFormat="1" applyAlignment="1">
      <alignment/>
    </xf>
    <xf numFmtId="0" fontId="8" fillId="0" borderId="13" xfId="0" applyFont="1" applyBorder="1" applyAlignment="1">
      <alignment horizontal="center"/>
    </xf>
    <xf numFmtId="200" fontId="5" fillId="0" borderId="0" xfId="64" applyNumberFormat="1" applyFont="1" applyBorder="1" applyAlignment="1">
      <alignment/>
    </xf>
    <xf numFmtId="200" fontId="5" fillId="0" borderId="0" xfId="64" applyNumberFormat="1" applyFont="1" applyFill="1" applyBorder="1" applyAlignment="1">
      <alignment/>
    </xf>
    <xf numFmtId="200" fontId="8" fillId="0" borderId="0" xfId="64" applyNumberFormat="1" applyFont="1" applyBorder="1" applyAlignment="1">
      <alignment/>
    </xf>
    <xf numFmtId="200" fontId="8" fillId="0" borderId="0" xfId="64" applyNumberFormat="1" applyFont="1" applyFill="1" applyBorder="1" applyAlignment="1">
      <alignment horizontal="right"/>
    </xf>
    <xf numFmtId="200" fontId="8" fillId="0" borderId="0" xfId="64" applyNumberFormat="1" applyFont="1" applyBorder="1" applyAlignment="1">
      <alignment horizontal="right"/>
    </xf>
    <xf numFmtId="200" fontId="71" fillId="0" borderId="0" xfId="64" applyNumberFormat="1" applyFont="1" applyAlignment="1">
      <alignment horizontal="right"/>
    </xf>
    <xf numFmtId="200" fontId="72" fillId="0" borderId="0" xfId="64" applyNumberFormat="1" applyFont="1" applyFill="1" applyAlignment="1">
      <alignment horizontal="right"/>
    </xf>
    <xf numFmtId="200" fontId="72" fillId="0" borderId="0" xfId="64" applyNumberFormat="1" applyFont="1" applyAlignment="1">
      <alignment horizontal="right"/>
    </xf>
    <xf numFmtId="200" fontId="71" fillId="0" borderId="0" xfId="64" applyNumberFormat="1" applyFont="1" applyBorder="1" applyAlignment="1">
      <alignment/>
    </xf>
    <xf numFmtId="200" fontId="71" fillId="0" borderId="0" xfId="64" applyNumberFormat="1" applyFont="1" applyBorder="1" applyAlignment="1">
      <alignment horizontal="right"/>
    </xf>
    <xf numFmtId="200" fontId="71" fillId="0" borderId="0" xfId="64" applyNumberFormat="1" applyFont="1" applyFill="1" applyBorder="1" applyAlignment="1">
      <alignment/>
    </xf>
    <xf numFmtId="200" fontId="71" fillId="0" borderId="0" xfId="64" applyNumberFormat="1" applyFont="1" applyAlignment="1">
      <alignment/>
    </xf>
    <xf numFmtId="0" fontId="73" fillId="0" borderId="0" xfId="0" applyFont="1" applyAlignment="1">
      <alignment/>
    </xf>
    <xf numFmtId="200" fontId="8" fillId="0" borderId="0" xfId="66" applyNumberFormat="1" applyFont="1" applyAlignment="1">
      <alignment/>
    </xf>
    <xf numFmtId="200" fontId="5" fillId="0" borderId="0" xfId="66" applyNumberFormat="1" applyFont="1" applyAlignment="1">
      <alignment/>
    </xf>
    <xf numFmtId="200" fontId="31" fillId="0" borderId="0" xfId="64" applyNumberFormat="1" applyFont="1" applyAlignment="1">
      <alignment/>
    </xf>
    <xf numFmtId="200" fontId="31" fillId="0" borderId="0" xfId="64" applyNumberFormat="1" applyFont="1" applyFill="1" applyAlignment="1">
      <alignment/>
    </xf>
    <xf numFmtId="200" fontId="10" fillId="0" borderId="0" xfId="64" applyNumberFormat="1" applyFont="1" applyAlignment="1">
      <alignment/>
    </xf>
    <xf numFmtId="1" fontId="11" fillId="0" borderId="11" xfId="63" applyNumberFormat="1" applyFont="1" applyBorder="1" applyAlignment="1" quotePrefix="1">
      <alignment horizontal="center" vertical="center"/>
      <protection/>
    </xf>
    <xf numFmtId="0" fontId="18" fillId="0" borderId="11" xfId="0" applyFont="1" applyBorder="1" applyAlignment="1">
      <alignment/>
    </xf>
    <xf numFmtId="1" fontId="17" fillId="0" borderId="11" xfId="63" applyNumberFormat="1" applyFont="1" applyBorder="1" applyAlignment="1" quotePrefix="1">
      <alignment horizontal="center" vertical="center"/>
      <protection/>
    </xf>
    <xf numFmtId="1" fontId="23" fillId="0" borderId="11" xfId="63" applyNumberFormat="1" applyFont="1" applyBorder="1" applyAlignment="1" quotePrefix="1">
      <alignment horizontal="center" vertical="center"/>
      <protection/>
    </xf>
    <xf numFmtId="1" fontId="14" fillId="0" borderId="11" xfId="63" applyNumberFormat="1" applyFont="1" applyBorder="1" applyAlignment="1" quotePrefix="1">
      <alignment horizontal="center" vertical="center"/>
      <protection/>
    </xf>
    <xf numFmtId="0" fontId="25" fillId="0" borderId="11" xfId="0" applyFont="1" applyBorder="1" applyAlignment="1">
      <alignment/>
    </xf>
    <xf numFmtId="1" fontId="17" fillId="0" borderId="11" xfId="63" applyNumberFormat="1" applyFont="1" applyBorder="1" applyAlignment="1" quotePrefix="1">
      <alignment horizontal="center" vertical="center"/>
      <protection/>
    </xf>
    <xf numFmtId="1" fontId="23" fillId="0" borderId="11" xfId="63" applyNumberFormat="1" applyFont="1" applyBorder="1" applyAlignment="1" quotePrefix="1">
      <alignment horizontal="center" vertical="center"/>
      <protection/>
    </xf>
    <xf numFmtId="1" fontId="23" fillId="0" borderId="11" xfId="63" applyNumberFormat="1" applyFont="1" applyBorder="1" applyAlignment="1" quotePrefix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PPI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Баз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ТЕКСТ_B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F140"/>
  <sheetViews>
    <sheetView zoomScaleSheetLayoutView="100" zoomScalePageLayoutView="0" workbookViewId="0" topLeftCell="A1">
      <pane xSplit="2" ySplit="7" topLeftCell="BM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24" sqref="J24"/>
    </sheetView>
  </sheetViews>
  <sheetFormatPr defaultColWidth="9.00390625" defaultRowHeight="12.75"/>
  <cols>
    <col min="1" max="1" width="37.125" style="18" customWidth="1"/>
    <col min="2" max="2" width="44.25390625" style="18" customWidth="1"/>
    <col min="3" max="3" width="9.125" style="177" customWidth="1"/>
    <col min="4" max="7" width="0" style="18" hidden="1" customWidth="1"/>
    <col min="8" max="20" width="9.125" style="18" customWidth="1"/>
    <col min="21" max="21" width="9.125" style="177" customWidth="1"/>
    <col min="22" max="38" width="9.125" style="18" customWidth="1"/>
    <col min="39" max="39" width="9.125" style="177" customWidth="1"/>
    <col min="40" max="56" width="9.125" style="18" customWidth="1"/>
    <col min="57" max="57" width="9.125" style="177" customWidth="1"/>
    <col min="58" max="90" width="9.125" style="18" customWidth="1"/>
    <col min="91" max="92" width="9.25390625" style="18" customWidth="1"/>
    <col min="93" max="93" width="9.125" style="21" customWidth="1"/>
    <col min="94" max="125" width="9.125" style="18" customWidth="1"/>
    <col min="126" max="128" width="9.125" style="20" customWidth="1"/>
    <col min="129" max="146" width="9.125" style="18" customWidth="1"/>
    <col min="147" max="147" width="11.125" style="18" bestFit="1" customWidth="1"/>
    <col min="148" max="160" width="9.125" style="18" customWidth="1"/>
    <col min="161" max="161" width="9.125" style="51" customWidth="1"/>
    <col min="162" max="162" width="9.125" style="18" customWidth="1"/>
    <col min="163" max="163" width="10.375" style="18" bestFit="1" customWidth="1"/>
    <col min="164" max="164" width="9.125" style="18" customWidth="1"/>
    <col min="165" max="165" width="9.75390625" style="18" customWidth="1"/>
    <col min="166" max="166" width="9.125" style="18" customWidth="1"/>
    <col min="167" max="167" width="10.375" style="18" bestFit="1" customWidth="1"/>
    <col min="168" max="179" width="9.125" style="18" customWidth="1"/>
    <col min="180" max="180" width="9.125" style="114" customWidth="1"/>
    <col min="181" max="196" width="9.125" style="18" customWidth="1"/>
    <col min="197" max="197" width="9.125" style="114" customWidth="1"/>
    <col min="198" max="16384" width="9.125" style="18" customWidth="1"/>
  </cols>
  <sheetData>
    <row r="1" spans="1:197" s="2" customFormat="1" ht="18" customHeight="1">
      <c r="A1" s="11" t="s">
        <v>43</v>
      </c>
      <c r="B1" s="11"/>
      <c r="C1" s="160"/>
      <c r="U1" s="160"/>
      <c r="AM1" s="160"/>
      <c r="BE1" s="160"/>
      <c r="CO1" s="39"/>
      <c r="DV1" s="3"/>
      <c r="DW1" s="3"/>
      <c r="DX1" s="3"/>
      <c r="FE1" s="47"/>
      <c r="FX1" s="118"/>
      <c r="GO1" s="118"/>
    </row>
    <row r="2" spans="1:197" s="7" customFormat="1" ht="18" customHeight="1" thickBot="1">
      <c r="A2" s="4" t="s">
        <v>34</v>
      </c>
      <c r="B2" s="5"/>
      <c r="C2" s="161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161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M2" s="180"/>
      <c r="BE2" s="180"/>
      <c r="CO2" s="40"/>
      <c r="DV2" s="8"/>
      <c r="DW2" s="8"/>
      <c r="DX2" s="8"/>
      <c r="FE2" s="48"/>
      <c r="FX2" s="119"/>
      <c r="GO2" s="119"/>
    </row>
    <row r="3" spans="3:197" s="35" customFormat="1" ht="18" customHeight="1" thickBot="1">
      <c r="C3" s="162">
        <v>1999</v>
      </c>
      <c r="D3" s="37" t="s">
        <v>1</v>
      </c>
      <c r="E3" s="37" t="s">
        <v>2</v>
      </c>
      <c r="F3" s="37" t="s">
        <v>3</v>
      </c>
      <c r="G3" s="37" t="s">
        <v>4</v>
      </c>
      <c r="H3" s="37" t="s">
        <v>22</v>
      </c>
      <c r="I3" s="37" t="s">
        <v>23</v>
      </c>
      <c r="J3" s="37" t="s">
        <v>24</v>
      </c>
      <c r="K3" s="37" t="s">
        <v>25</v>
      </c>
      <c r="L3" s="37" t="s">
        <v>26</v>
      </c>
      <c r="M3" s="37" t="s">
        <v>27</v>
      </c>
      <c r="N3" s="37" t="s">
        <v>28</v>
      </c>
      <c r="O3" s="37" t="s">
        <v>29</v>
      </c>
      <c r="P3" s="37" t="s">
        <v>30</v>
      </c>
      <c r="Q3" s="37" t="s">
        <v>31</v>
      </c>
      <c r="R3" s="37" t="s">
        <v>32</v>
      </c>
      <c r="S3" s="37" t="s">
        <v>33</v>
      </c>
      <c r="T3" s="37"/>
      <c r="U3" s="162">
        <v>2000</v>
      </c>
      <c r="V3" s="37" t="s">
        <v>1</v>
      </c>
      <c r="W3" s="37" t="s">
        <v>2</v>
      </c>
      <c r="X3" s="37" t="s">
        <v>3</v>
      </c>
      <c r="Y3" s="37" t="s">
        <v>4</v>
      </c>
      <c r="Z3" s="37" t="s">
        <v>22</v>
      </c>
      <c r="AA3" s="37" t="s">
        <v>23</v>
      </c>
      <c r="AB3" s="37" t="s">
        <v>24</v>
      </c>
      <c r="AC3" s="37" t="s">
        <v>25</v>
      </c>
      <c r="AD3" s="37" t="s">
        <v>26</v>
      </c>
      <c r="AE3" s="37" t="s">
        <v>27</v>
      </c>
      <c r="AF3" s="37" t="s">
        <v>28</v>
      </c>
      <c r="AG3" s="37" t="s">
        <v>29</v>
      </c>
      <c r="AH3" s="37" t="s">
        <v>30</v>
      </c>
      <c r="AI3" s="37" t="s">
        <v>31</v>
      </c>
      <c r="AJ3" s="37" t="s">
        <v>32</v>
      </c>
      <c r="AK3" s="37" t="s">
        <v>33</v>
      </c>
      <c r="AL3" s="37"/>
      <c r="AM3" s="162">
        <v>2001</v>
      </c>
      <c r="AN3" s="37" t="s">
        <v>1</v>
      </c>
      <c r="AO3" s="37" t="s">
        <v>2</v>
      </c>
      <c r="AP3" s="37" t="s">
        <v>3</v>
      </c>
      <c r="AQ3" s="37" t="s">
        <v>4</v>
      </c>
      <c r="AR3" s="37" t="s">
        <v>22</v>
      </c>
      <c r="AS3" s="37" t="s">
        <v>23</v>
      </c>
      <c r="AT3" s="37" t="s">
        <v>24</v>
      </c>
      <c r="AU3" s="37" t="s">
        <v>25</v>
      </c>
      <c r="AV3" s="37" t="s">
        <v>26</v>
      </c>
      <c r="AW3" s="37" t="s">
        <v>27</v>
      </c>
      <c r="AX3" s="37" t="s">
        <v>28</v>
      </c>
      <c r="AY3" s="37" t="s">
        <v>29</v>
      </c>
      <c r="AZ3" s="37" t="s">
        <v>30</v>
      </c>
      <c r="BA3" s="37" t="s">
        <v>31</v>
      </c>
      <c r="BB3" s="37" t="s">
        <v>32</v>
      </c>
      <c r="BC3" s="37" t="s">
        <v>33</v>
      </c>
      <c r="BD3" s="37"/>
      <c r="BE3" s="162">
        <v>2002</v>
      </c>
      <c r="BF3" s="37" t="s">
        <v>1</v>
      </c>
      <c r="BG3" s="37" t="s">
        <v>2</v>
      </c>
      <c r="BH3" s="37" t="s">
        <v>3</v>
      </c>
      <c r="BI3" s="37" t="s">
        <v>4</v>
      </c>
      <c r="BJ3" s="37" t="s">
        <v>22</v>
      </c>
      <c r="BK3" s="37" t="s">
        <v>23</v>
      </c>
      <c r="BL3" s="37" t="s">
        <v>24</v>
      </c>
      <c r="BM3" s="37" t="s">
        <v>25</v>
      </c>
      <c r="BN3" s="37" t="s">
        <v>26</v>
      </c>
      <c r="BO3" s="37" t="s">
        <v>27</v>
      </c>
      <c r="BP3" s="37" t="s">
        <v>28</v>
      </c>
      <c r="BQ3" s="37" t="s">
        <v>29</v>
      </c>
      <c r="BR3" s="37" t="s">
        <v>30</v>
      </c>
      <c r="BS3" s="37" t="s">
        <v>31</v>
      </c>
      <c r="BT3" s="37" t="s">
        <v>32</v>
      </c>
      <c r="BU3" s="37" t="s">
        <v>33</v>
      </c>
      <c r="BV3" s="37"/>
      <c r="BW3" s="36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42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6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8"/>
      <c r="DW3" s="38"/>
      <c r="DX3" s="38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8"/>
      <c r="EN3" s="38"/>
      <c r="EO3" s="38"/>
      <c r="EP3" s="38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49"/>
      <c r="FF3" s="38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8"/>
      <c r="FW3" s="38"/>
      <c r="FX3" s="115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8"/>
      <c r="GN3" s="38"/>
      <c r="GO3" s="115"/>
    </row>
    <row r="4" spans="2:197" s="9" customFormat="1" ht="18" customHeight="1">
      <c r="B4" s="157" t="s">
        <v>79</v>
      </c>
      <c r="C4" s="163"/>
      <c r="U4" s="163"/>
      <c r="AM4" s="163"/>
      <c r="BE4" s="163"/>
      <c r="CO4" s="41"/>
      <c r="DV4" s="10"/>
      <c r="DW4" s="10"/>
      <c r="DX4" s="10"/>
      <c r="FE4" s="50"/>
      <c r="FX4" s="41"/>
      <c r="GA4" s="11"/>
      <c r="GB4" s="11"/>
      <c r="GC4" s="11"/>
      <c r="GD4" s="11"/>
      <c r="GE4" s="11"/>
      <c r="GF4" s="11"/>
      <c r="GG4" s="11"/>
      <c r="GH4" s="11"/>
      <c r="GO4" s="41"/>
    </row>
    <row r="5" spans="2:214" s="9" customFormat="1" ht="18" customHeight="1" thickBot="1">
      <c r="B5" s="58" t="s">
        <v>78</v>
      </c>
      <c r="C5" s="164"/>
      <c r="I5" s="11"/>
      <c r="K5" s="11"/>
      <c r="L5" s="11"/>
      <c r="R5" s="11"/>
      <c r="S5" s="11"/>
      <c r="T5" s="11"/>
      <c r="U5" s="164"/>
      <c r="AA5" s="11"/>
      <c r="AC5" s="11"/>
      <c r="AD5" s="11"/>
      <c r="AM5" s="164"/>
      <c r="BE5" s="164"/>
      <c r="BW5" s="11"/>
      <c r="CO5" s="66"/>
      <c r="DG5" s="11"/>
      <c r="DV5" s="10"/>
      <c r="DW5" s="10"/>
      <c r="DX5" s="10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68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66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66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</row>
    <row r="6" spans="1:197" s="151" customFormat="1" ht="18" customHeight="1">
      <c r="A6" s="12"/>
      <c r="C6" s="165"/>
      <c r="D6" s="15"/>
      <c r="E6" s="15"/>
      <c r="F6" s="15"/>
      <c r="G6" s="15"/>
      <c r="H6" s="375" t="s">
        <v>0</v>
      </c>
      <c r="I6" s="375"/>
      <c r="J6" s="375"/>
      <c r="K6" s="375"/>
      <c r="L6" s="375"/>
      <c r="M6" s="375"/>
      <c r="N6" s="375"/>
      <c r="O6" s="375"/>
      <c r="P6" s="375"/>
      <c r="Q6" s="375"/>
      <c r="R6" s="375"/>
      <c r="S6" s="375"/>
      <c r="T6" s="16"/>
      <c r="U6" s="178"/>
      <c r="V6" s="44"/>
      <c r="W6" s="15"/>
      <c r="X6" s="15"/>
      <c r="Y6" s="15"/>
      <c r="Z6" s="375">
        <v>2000</v>
      </c>
      <c r="AA6" s="375"/>
      <c r="AB6" s="375"/>
      <c r="AC6" s="375"/>
      <c r="AD6" s="375"/>
      <c r="AE6" s="375"/>
      <c r="AF6" s="375"/>
      <c r="AG6" s="375"/>
      <c r="AH6" s="375"/>
      <c r="AI6" s="375"/>
      <c r="AJ6" s="375"/>
      <c r="AK6" s="375"/>
      <c r="AL6" s="16"/>
      <c r="AM6" s="165"/>
      <c r="AN6" s="15"/>
      <c r="AO6" s="15"/>
      <c r="AP6" s="15"/>
      <c r="AQ6" s="15"/>
      <c r="AR6" s="375" t="s">
        <v>19</v>
      </c>
      <c r="AS6" s="375"/>
      <c r="AT6" s="375"/>
      <c r="AU6" s="375"/>
      <c r="AV6" s="375"/>
      <c r="AW6" s="375"/>
      <c r="AX6" s="375"/>
      <c r="AY6" s="375"/>
      <c r="AZ6" s="375"/>
      <c r="BA6" s="375"/>
      <c r="BB6" s="375"/>
      <c r="BC6" s="375"/>
      <c r="BD6" s="16"/>
      <c r="BE6" s="165"/>
      <c r="BF6" s="376"/>
      <c r="BG6" s="376"/>
      <c r="BH6" s="376"/>
      <c r="BI6" s="376"/>
      <c r="BJ6" s="375" t="s">
        <v>48</v>
      </c>
      <c r="BK6" s="375"/>
      <c r="BL6" s="375"/>
      <c r="BM6" s="375"/>
      <c r="BN6" s="375"/>
      <c r="BO6" s="375"/>
      <c r="BP6" s="375"/>
      <c r="BQ6" s="375"/>
      <c r="BR6" s="375"/>
      <c r="BS6" s="375"/>
      <c r="BT6" s="375"/>
      <c r="BU6" s="375"/>
      <c r="BV6" s="16"/>
      <c r="BW6" s="152"/>
      <c r="BX6" s="376"/>
      <c r="BY6" s="376"/>
      <c r="BZ6" s="376"/>
      <c r="CA6" s="376"/>
      <c r="CB6" s="372"/>
      <c r="CC6" s="372"/>
      <c r="CD6" s="372"/>
      <c r="CE6" s="372"/>
      <c r="CF6" s="372"/>
      <c r="CG6" s="372"/>
      <c r="CH6" s="372"/>
      <c r="CI6" s="372"/>
      <c r="CJ6" s="372"/>
      <c r="CK6" s="372"/>
      <c r="CL6" s="372"/>
      <c r="CM6" s="372"/>
      <c r="CN6" s="16"/>
      <c r="CO6" s="153"/>
      <c r="CP6" s="372"/>
      <c r="CQ6" s="372"/>
      <c r="CR6" s="372"/>
      <c r="CS6" s="372"/>
      <c r="CT6" s="372"/>
      <c r="CU6" s="372"/>
      <c r="CV6" s="372"/>
      <c r="CW6" s="372"/>
      <c r="CX6" s="372"/>
      <c r="CY6" s="372"/>
      <c r="CZ6" s="372"/>
      <c r="DA6" s="372"/>
      <c r="DB6" s="372"/>
      <c r="DC6" s="372"/>
      <c r="DD6" s="372"/>
      <c r="DE6" s="372"/>
      <c r="DF6" s="16"/>
      <c r="DG6" s="152"/>
      <c r="DH6" s="372"/>
      <c r="DI6" s="372"/>
      <c r="DJ6" s="372"/>
      <c r="DK6" s="372"/>
      <c r="DL6" s="372"/>
      <c r="DM6" s="372"/>
      <c r="DN6" s="372"/>
      <c r="DO6" s="372"/>
      <c r="DP6" s="372"/>
      <c r="DQ6" s="372"/>
      <c r="DR6" s="372"/>
      <c r="DS6" s="372"/>
      <c r="DT6" s="372"/>
      <c r="DU6" s="372"/>
      <c r="DV6" s="372"/>
      <c r="DW6" s="372"/>
      <c r="DX6" s="16"/>
      <c r="DY6" s="372"/>
      <c r="DZ6" s="372"/>
      <c r="EA6" s="372"/>
      <c r="EB6" s="372"/>
      <c r="EC6" s="372"/>
      <c r="ED6" s="372"/>
      <c r="EE6" s="372"/>
      <c r="EF6" s="372"/>
      <c r="EG6" s="372"/>
      <c r="EH6" s="372"/>
      <c r="EI6" s="372"/>
      <c r="EJ6" s="372"/>
      <c r="EK6" s="372"/>
      <c r="EL6" s="372"/>
      <c r="EM6" s="372"/>
      <c r="EQ6" s="372"/>
      <c r="ER6" s="372"/>
      <c r="ES6" s="372"/>
      <c r="ET6" s="372"/>
      <c r="EU6" s="372"/>
      <c r="EV6" s="372"/>
      <c r="EW6" s="372"/>
      <c r="EX6" s="372"/>
      <c r="EY6" s="372"/>
      <c r="EZ6" s="372"/>
      <c r="FA6" s="372"/>
      <c r="FB6" s="372"/>
      <c r="FC6" s="372"/>
      <c r="FD6" s="372"/>
      <c r="FE6" s="372"/>
      <c r="FH6" s="372"/>
      <c r="FI6" s="372"/>
      <c r="FJ6" s="372"/>
      <c r="FK6" s="372"/>
      <c r="FL6" s="372"/>
      <c r="FM6" s="372"/>
      <c r="FN6" s="372"/>
      <c r="FO6" s="372"/>
      <c r="FP6" s="372"/>
      <c r="FQ6" s="372"/>
      <c r="FR6" s="372"/>
      <c r="FS6" s="372"/>
      <c r="FT6" s="372"/>
      <c r="FU6" s="372"/>
      <c r="FV6" s="372"/>
      <c r="FW6" s="373"/>
      <c r="FX6" s="140"/>
      <c r="FY6" s="374"/>
      <c r="FZ6" s="374"/>
      <c r="GA6" s="374"/>
      <c r="GB6" s="374"/>
      <c r="GC6" s="372"/>
      <c r="GD6" s="372"/>
      <c r="GE6" s="372"/>
      <c r="GF6" s="372"/>
      <c r="GG6" s="372"/>
      <c r="GH6" s="372"/>
      <c r="GI6" s="372"/>
      <c r="GJ6" s="372"/>
      <c r="GK6" s="372"/>
      <c r="GL6" s="372"/>
      <c r="GM6" s="372"/>
      <c r="GN6" s="373"/>
      <c r="GO6" s="140"/>
    </row>
    <row r="7" spans="2:197" s="122" customFormat="1" ht="24.75" customHeight="1" thickBot="1">
      <c r="B7" s="122" t="s">
        <v>49</v>
      </c>
      <c r="C7" s="166">
        <v>1999</v>
      </c>
      <c r="D7" s="122" t="s">
        <v>1</v>
      </c>
      <c r="E7" s="122" t="s">
        <v>2</v>
      </c>
      <c r="F7" s="122" t="s">
        <v>3</v>
      </c>
      <c r="G7" s="122" t="s">
        <v>4</v>
      </c>
      <c r="H7" s="122" t="s">
        <v>5</v>
      </c>
      <c r="I7" s="122" t="s">
        <v>6</v>
      </c>
      <c r="J7" s="122" t="s">
        <v>7</v>
      </c>
      <c r="K7" s="122" t="s">
        <v>8</v>
      </c>
      <c r="L7" s="122" t="s">
        <v>9</v>
      </c>
      <c r="M7" s="122" t="s">
        <v>10</v>
      </c>
      <c r="N7" s="122" t="s">
        <v>11</v>
      </c>
      <c r="O7" s="122" t="s">
        <v>12</v>
      </c>
      <c r="P7" s="122" t="s">
        <v>16</v>
      </c>
      <c r="Q7" s="122" t="s">
        <v>13</v>
      </c>
      <c r="R7" s="122" t="s">
        <v>14</v>
      </c>
      <c r="S7" s="122" t="s">
        <v>15</v>
      </c>
      <c r="U7" s="166">
        <v>2000</v>
      </c>
      <c r="V7" s="122" t="s">
        <v>1</v>
      </c>
      <c r="W7" s="122" t="s">
        <v>2</v>
      </c>
      <c r="X7" s="122" t="s">
        <v>3</v>
      </c>
      <c r="Y7" s="122" t="s">
        <v>4</v>
      </c>
      <c r="Z7" s="122" t="s">
        <v>5</v>
      </c>
      <c r="AA7" s="122" t="s">
        <v>6</v>
      </c>
      <c r="AB7" s="122" t="s">
        <v>7</v>
      </c>
      <c r="AC7" s="122" t="s">
        <v>8</v>
      </c>
      <c r="AD7" s="122" t="s">
        <v>9</v>
      </c>
      <c r="AE7" s="122" t="s">
        <v>10</v>
      </c>
      <c r="AF7" s="122" t="s">
        <v>11</v>
      </c>
      <c r="AG7" s="122" t="s">
        <v>12</v>
      </c>
      <c r="AH7" s="122" t="s">
        <v>16</v>
      </c>
      <c r="AI7" s="122" t="s">
        <v>13</v>
      </c>
      <c r="AJ7" s="122" t="s">
        <v>14</v>
      </c>
      <c r="AK7" s="122" t="s">
        <v>15</v>
      </c>
      <c r="AM7" s="166">
        <v>2001</v>
      </c>
      <c r="AN7" s="122" t="s">
        <v>1</v>
      </c>
      <c r="AO7" s="122" t="s">
        <v>2</v>
      </c>
      <c r="AP7" s="122" t="s">
        <v>3</v>
      </c>
      <c r="AQ7" s="122" t="s">
        <v>4</v>
      </c>
      <c r="AR7" s="122" t="s">
        <v>5</v>
      </c>
      <c r="AS7" s="122" t="s">
        <v>6</v>
      </c>
      <c r="AT7" s="122" t="s">
        <v>7</v>
      </c>
      <c r="AU7" s="122" t="s">
        <v>8</v>
      </c>
      <c r="AV7" s="122" t="s">
        <v>9</v>
      </c>
      <c r="AW7" s="122" t="s">
        <v>10</v>
      </c>
      <c r="AX7" s="122" t="s">
        <v>11</v>
      </c>
      <c r="AY7" s="122" t="s">
        <v>12</v>
      </c>
      <c r="AZ7" s="122" t="s">
        <v>16</v>
      </c>
      <c r="BA7" s="122" t="s">
        <v>13</v>
      </c>
      <c r="BB7" s="122" t="s">
        <v>14</v>
      </c>
      <c r="BC7" s="122" t="s">
        <v>15</v>
      </c>
      <c r="BE7" s="166">
        <v>2002</v>
      </c>
      <c r="BF7" s="122" t="s">
        <v>1</v>
      </c>
      <c r="BG7" s="122" t="s">
        <v>2</v>
      </c>
      <c r="BH7" s="122" t="s">
        <v>3</v>
      </c>
      <c r="BI7" s="122" t="s">
        <v>4</v>
      </c>
      <c r="BJ7" s="122" t="s">
        <v>5</v>
      </c>
      <c r="BK7" s="122" t="s">
        <v>6</v>
      </c>
      <c r="BL7" s="122" t="s">
        <v>7</v>
      </c>
      <c r="BM7" s="122" t="s">
        <v>8</v>
      </c>
      <c r="BN7" s="122" t="s">
        <v>9</v>
      </c>
      <c r="BO7" s="122" t="s">
        <v>10</v>
      </c>
      <c r="BP7" s="122" t="s">
        <v>11</v>
      </c>
      <c r="BQ7" s="122" t="s">
        <v>12</v>
      </c>
      <c r="BR7" s="122" t="s">
        <v>16</v>
      </c>
      <c r="BS7" s="122" t="s">
        <v>13</v>
      </c>
      <c r="BT7" s="122" t="s">
        <v>14</v>
      </c>
      <c r="BU7" s="122" t="s">
        <v>15</v>
      </c>
      <c r="EO7" s="142"/>
      <c r="FE7" s="141"/>
      <c r="FG7" s="142"/>
      <c r="FX7" s="142"/>
      <c r="GO7" s="142"/>
    </row>
    <row r="8" spans="3:185" ht="12.75" customHeight="1">
      <c r="C8" s="167"/>
      <c r="U8" s="167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BE8" s="167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W8" s="21"/>
      <c r="DG8" s="19"/>
      <c r="EO8" s="21"/>
      <c r="EP8" s="21"/>
      <c r="GC8" s="158"/>
    </row>
    <row r="9" spans="1:207" s="13" customFormat="1" ht="12">
      <c r="A9" s="109" t="s">
        <v>35</v>
      </c>
      <c r="B9" s="109" t="s">
        <v>20</v>
      </c>
      <c r="C9" s="123">
        <f aca="true" t="shared" si="0" ref="C9:S9">C12+C16+C32</f>
        <v>30912.9</v>
      </c>
      <c r="D9" s="123">
        <f t="shared" si="0"/>
        <v>5978.4</v>
      </c>
      <c r="E9" s="123">
        <f t="shared" si="0"/>
        <v>6288.7</v>
      </c>
      <c r="F9" s="123">
        <f t="shared" si="0"/>
        <v>8589.5</v>
      </c>
      <c r="G9" s="123">
        <f t="shared" si="0"/>
        <v>10056.3</v>
      </c>
      <c r="H9" s="123">
        <f t="shared" si="0"/>
        <v>2066.4</v>
      </c>
      <c r="I9" s="123">
        <f t="shared" si="0"/>
        <v>1819.1</v>
      </c>
      <c r="J9" s="123">
        <f t="shared" si="0"/>
        <v>2092.9</v>
      </c>
      <c r="K9" s="123">
        <f t="shared" si="0"/>
        <v>1995.9</v>
      </c>
      <c r="L9" s="123">
        <f t="shared" si="0"/>
        <v>2174.2</v>
      </c>
      <c r="M9" s="123">
        <f t="shared" si="0"/>
        <v>2118.6</v>
      </c>
      <c r="N9" s="123">
        <f t="shared" si="0"/>
        <v>2812.3</v>
      </c>
      <c r="O9" s="123">
        <f t="shared" si="0"/>
        <v>2530.7</v>
      </c>
      <c r="P9" s="123">
        <f t="shared" si="0"/>
        <v>3246.5</v>
      </c>
      <c r="Q9" s="123">
        <f t="shared" si="0"/>
        <v>3241.5</v>
      </c>
      <c r="R9" s="123">
        <f t="shared" si="0"/>
        <v>3568.1</v>
      </c>
      <c r="S9" s="123">
        <f t="shared" si="0"/>
        <v>3246.7</v>
      </c>
      <c r="T9" s="123"/>
      <c r="U9" s="168">
        <f>V9+W9+X9+Y9</f>
        <v>41407.9</v>
      </c>
      <c r="V9" s="123">
        <f>V12+V16+V32</f>
        <v>8348.7</v>
      </c>
      <c r="W9" s="123">
        <f>W12+W16+W32</f>
        <v>9947.4</v>
      </c>
      <c r="X9" s="123">
        <f>X12+X16+X32</f>
        <v>11320.9</v>
      </c>
      <c r="Y9" s="123">
        <f>Y12+Y16+Y32</f>
        <v>11790.9</v>
      </c>
      <c r="Z9" s="123">
        <v>2595.4</v>
      </c>
      <c r="AA9" s="123">
        <v>2890.2</v>
      </c>
      <c r="AB9" s="123">
        <v>2863.1</v>
      </c>
      <c r="AC9" s="123">
        <v>2609.5</v>
      </c>
      <c r="AD9" s="123">
        <v>3554.6</v>
      </c>
      <c r="AE9" s="123">
        <v>3783.3</v>
      </c>
      <c r="AF9" s="123">
        <v>4090.6</v>
      </c>
      <c r="AG9" s="123">
        <v>3811.3</v>
      </c>
      <c r="AH9" s="123">
        <v>3419</v>
      </c>
      <c r="AI9" s="123">
        <v>3527.8</v>
      </c>
      <c r="AJ9" s="123">
        <v>4623.4</v>
      </c>
      <c r="AK9" s="123">
        <v>3639.7</v>
      </c>
      <c r="AL9" s="123"/>
      <c r="AM9" s="168">
        <f>AM12+AM16+AM32</f>
        <v>44595.4</v>
      </c>
      <c r="AN9" s="123">
        <f>AN12+AN16+AN32</f>
        <v>10876.6</v>
      </c>
      <c r="AO9" s="123">
        <f>AO12+AO16+AO32</f>
        <v>10066</v>
      </c>
      <c r="AP9" s="123">
        <f>AP12+AP16+AP32</f>
        <v>11497.3</v>
      </c>
      <c r="AQ9" s="123">
        <f>AQ12+AQ16+AQ32</f>
        <v>12155.5</v>
      </c>
      <c r="AR9" s="123">
        <v>3984</v>
      </c>
      <c r="AS9" s="123">
        <v>3283.4</v>
      </c>
      <c r="AT9" s="123">
        <v>3609.2</v>
      </c>
      <c r="AU9" s="123">
        <v>3085.4</v>
      </c>
      <c r="AV9" s="123">
        <v>3148</v>
      </c>
      <c r="AW9" s="123">
        <v>3832.6</v>
      </c>
      <c r="AX9" s="123">
        <v>4120.7</v>
      </c>
      <c r="AY9" s="123">
        <v>3524.9</v>
      </c>
      <c r="AZ9" s="123">
        <v>3851.7</v>
      </c>
      <c r="BA9" s="123">
        <v>3964</v>
      </c>
      <c r="BB9" s="123">
        <v>4315.2</v>
      </c>
      <c r="BC9" s="123">
        <v>3876.3</v>
      </c>
      <c r="BD9" s="123"/>
      <c r="BE9" s="168">
        <f>BF9+BG9+BH9+BI9</f>
        <v>42465.9</v>
      </c>
      <c r="BF9" s="123">
        <f>BJ9+BK9+BL9</f>
        <v>9985.4</v>
      </c>
      <c r="BG9" s="123">
        <f>BM9+BN9+BO9</f>
        <v>9582.6</v>
      </c>
      <c r="BH9" s="123">
        <f>BP9+BQ9+BR9</f>
        <v>10086.7</v>
      </c>
      <c r="BI9" s="123">
        <f>BS9+BT9+BU9</f>
        <v>12811.2</v>
      </c>
      <c r="BJ9" s="123">
        <v>3111.6</v>
      </c>
      <c r="BK9" s="123">
        <v>3587.1</v>
      </c>
      <c r="BL9" s="123">
        <v>3286.7</v>
      </c>
      <c r="BM9" s="123">
        <v>3503.1</v>
      </c>
      <c r="BN9" s="123">
        <v>3063.7</v>
      </c>
      <c r="BO9" s="123">
        <v>3015.8</v>
      </c>
      <c r="BP9" s="123">
        <v>3194.4</v>
      </c>
      <c r="BQ9" s="123">
        <v>3321</v>
      </c>
      <c r="BR9" s="123">
        <v>3571.3</v>
      </c>
      <c r="BS9" s="123">
        <v>3571</v>
      </c>
      <c r="BT9" s="123">
        <v>3807.7</v>
      </c>
      <c r="BU9" s="123">
        <v>5432.5</v>
      </c>
      <c r="BV9" s="123"/>
      <c r="BW9" s="124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4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4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5"/>
      <c r="ED9" s="125"/>
      <c r="EE9" s="125"/>
      <c r="EF9" s="125"/>
      <c r="EG9" s="125"/>
      <c r="EH9" s="125"/>
      <c r="EI9" s="125"/>
      <c r="EJ9" s="125"/>
      <c r="EK9" s="125"/>
      <c r="EL9" s="125"/>
      <c r="EM9" s="125"/>
      <c r="EN9" s="125"/>
      <c r="EO9" s="126"/>
      <c r="EP9" s="126"/>
      <c r="EQ9" s="123"/>
      <c r="ER9" s="123"/>
      <c r="ES9" s="123"/>
      <c r="ET9" s="123"/>
      <c r="EU9" s="123"/>
      <c r="EV9" s="123"/>
      <c r="EW9" s="123"/>
      <c r="EX9" s="123"/>
      <c r="EY9" s="123"/>
      <c r="EZ9" s="123"/>
      <c r="FA9" s="123"/>
      <c r="FB9" s="123"/>
      <c r="FC9" s="123"/>
      <c r="FD9" s="123"/>
      <c r="FE9" s="123"/>
      <c r="FF9" s="123"/>
      <c r="FG9" s="124"/>
      <c r="FH9" s="123"/>
      <c r="FI9" s="123"/>
      <c r="FJ9" s="123"/>
      <c r="FK9" s="123"/>
      <c r="FL9" s="123"/>
      <c r="FM9" s="123"/>
      <c r="FN9" s="123"/>
      <c r="FO9" s="123"/>
      <c r="FP9" s="123"/>
      <c r="FQ9" s="123"/>
      <c r="FR9" s="123"/>
      <c r="FS9" s="123"/>
      <c r="FT9" s="123"/>
      <c r="FU9" s="123"/>
      <c r="FV9" s="123"/>
      <c r="FW9" s="123"/>
      <c r="FX9" s="124"/>
      <c r="FY9" s="123"/>
      <c r="FZ9" s="123"/>
      <c r="GA9" s="123"/>
      <c r="GB9" s="123"/>
      <c r="GC9" s="123"/>
      <c r="GD9" s="123"/>
      <c r="GE9" s="123"/>
      <c r="GF9" s="123"/>
      <c r="GG9" s="123"/>
      <c r="GH9" s="123"/>
      <c r="GI9" s="123"/>
      <c r="GJ9" s="123"/>
      <c r="GK9" s="123"/>
      <c r="GL9" s="123"/>
      <c r="GM9" s="123"/>
      <c r="GN9" s="123"/>
      <c r="GO9" s="124"/>
      <c r="GY9" s="22"/>
    </row>
    <row r="10" spans="1:207" s="13" customFormat="1" ht="12">
      <c r="A10" s="109"/>
      <c r="B10" s="109"/>
      <c r="C10" s="168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68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68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68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4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4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4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6"/>
      <c r="EP10" s="126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4"/>
      <c r="FH10" s="123"/>
      <c r="FI10" s="123"/>
      <c r="FJ10" s="123"/>
      <c r="FK10" s="123"/>
      <c r="FL10" s="123"/>
      <c r="FM10" s="123"/>
      <c r="FN10" s="123"/>
      <c r="FO10" s="123"/>
      <c r="FP10" s="123"/>
      <c r="FQ10" s="123"/>
      <c r="FR10" s="123"/>
      <c r="FS10" s="123"/>
      <c r="FT10" s="123"/>
      <c r="FU10" s="123"/>
      <c r="FV10" s="123"/>
      <c r="FW10" s="123"/>
      <c r="FX10" s="124"/>
      <c r="FY10" s="123"/>
      <c r="FZ10" s="123"/>
      <c r="GA10" s="123"/>
      <c r="GB10" s="123"/>
      <c r="GC10" s="123"/>
      <c r="GD10" s="123"/>
      <c r="GE10" s="123"/>
      <c r="GF10" s="123"/>
      <c r="GG10" s="123"/>
      <c r="GH10" s="123"/>
      <c r="GI10" s="123"/>
      <c r="GJ10" s="123"/>
      <c r="GK10" s="123"/>
      <c r="GL10" s="123"/>
      <c r="GM10" s="123"/>
      <c r="GN10" s="123"/>
      <c r="GO10" s="124"/>
      <c r="GY10" s="22"/>
    </row>
    <row r="11" spans="1:207" ht="12">
      <c r="A11" s="25"/>
      <c r="B11" s="25"/>
      <c r="C11" s="168"/>
      <c r="D11" s="123"/>
      <c r="E11" s="123"/>
      <c r="F11" s="123"/>
      <c r="G11" s="123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68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69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68"/>
      <c r="BF11" s="123"/>
      <c r="BG11" s="123"/>
      <c r="BH11" s="123"/>
      <c r="BI11" s="123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4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7"/>
      <c r="CN11" s="127"/>
      <c r="CO11" s="124"/>
      <c r="CP11" s="123"/>
      <c r="CQ11" s="123"/>
      <c r="CR11" s="123"/>
      <c r="CS11" s="123"/>
      <c r="CT11" s="127"/>
      <c r="CU11" s="127"/>
      <c r="CV11" s="127"/>
      <c r="CW11" s="127"/>
      <c r="CX11" s="123"/>
      <c r="CY11" s="127"/>
      <c r="CZ11" s="124"/>
      <c r="DA11" s="124"/>
      <c r="DB11" s="127"/>
      <c r="DC11" s="127"/>
      <c r="DD11" s="127"/>
      <c r="DE11" s="127"/>
      <c r="DF11" s="127"/>
      <c r="DG11" s="124"/>
      <c r="DH11" s="123"/>
      <c r="DI11" s="123"/>
      <c r="DJ11" s="123"/>
      <c r="DK11" s="123"/>
      <c r="DL11" s="127"/>
      <c r="DM11" s="129"/>
      <c r="DN11" s="123"/>
      <c r="DO11" s="127"/>
      <c r="DP11" s="127"/>
      <c r="DQ11" s="127"/>
      <c r="DR11" s="127"/>
      <c r="DS11" s="130"/>
      <c r="DT11" s="130"/>
      <c r="DU11" s="127"/>
      <c r="DV11" s="130"/>
      <c r="DW11" s="130"/>
      <c r="DX11" s="130"/>
      <c r="DY11" s="123"/>
      <c r="DZ11" s="123"/>
      <c r="EA11" s="123"/>
      <c r="EB11" s="123"/>
      <c r="EC11" s="127"/>
      <c r="ED11" s="127"/>
      <c r="EE11" s="127"/>
      <c r="EF11" s="127"/>
      <c r="EG11" s="127"/>
      <c r="EH11" s="127"/>
      <c r="EI11" s="127"/>
      <c r="EJ11" s="127"/>
      <c r="EK11" s="127"/>
      <c r="EL11" s="127"/>
      <c r="EM11" s="127"/>
      <c r="EN11" s="127"/>
      <c r="EO11" s="126"/>
      <c r="EP11" s="126"/>
      <c r="EQ11" s="123"/>
      <c r="ER11" s="123"/>
      <c r="ES11" s="123"/>
      <c r="ET11" s="123"/>
      <c r="EU11" s="127"/>
      <c r="EV11" s="123"/>
      <c r="EW11" s="123"/>
      <c r="EX11" s="123"/>
      <c r="EY11" s="123"/>
      <c r="EZ11" s="123"/>
      <c r="FA11" s="123"/>
      <c r="FB11" s="123"/>
      <c r="FC11" s="123"/>
      <c r="FD11" s="123"/>
      <c r="FE11" s="123"/>
      <c r="FF11" s="123"/>
      <c r="FG11" s="124"/>
      <c r="FH11" s="123"/>
      <c r="FI11" s="123"/>
      <c r="FJ11" s="123"/>
      <c r="FK11" s="123"/>
      <c r="FL11" s="127"/>
      <c r="FM11" s="127"/>
      <c r="FN11" s="127"/>
      <c r="FO11" s="123"/>
      <c r="FP11" s="123"/>
      <c r="FQ11" s="123"/>
      <c r="FR11" s="123"/>
      <c r="FS11" s="127"/>
      <c r="FT11" s="127"/>
      <c r="FU11" s="123"/>
      <c r="FV11" s="123"/>
      <c r="FW11" s="127"/>
      <c r="FX11" s="124"/>
      <c r="FY11" s="123"/>
      <c r="FZ11" s="123"/>
      <c r="GA11" s="123"/>
      <c r="GB11" s="123"/>
      <c r="GC11" s="127"/>
      <c r="GD11" s="127"/>
      <c r="GE11" s="127"/>
      <c r="GF11" s="127"/>
      <c r="GG11" s="127"/>
      <c r="GH11" s="127"/>
      <c r="GI11" s="127"/>
      <c r="GJ11" s="127"/>
      <c r="GK11" s="127"/>
      <c r="GL11" s="127"/>
      <c r="GM11" s="127"/>
      <c r="GN11" s="127"/>
      <c r="GO11" s="124"/>
      <c r="GY11" s="159"/>
    </row>
    <row r="12" spans="1:207" s="13" customFormat="1" ht="12">
      <c r="A12" s="109" t="s">
        <v>36</v>
      </c>
      <c r="B12" s="109" t="s">
        <v>17</v>
      </c>
      <c r="C12" s="168">
        <f>D12+E12+F12+G12</f>
        <v>428.8</v>
      </c>
      <c r="D12" s="123">
        <f>H12+I12+J12</f>
        <v>75.8</v>
      </c>
      <c r="E12" s="123">
        <f>K12+L12+M12</f>
        <v>104.3</v>
      </c>
      <c r="F12" s="123">
        <f>N12+O12+P12</f>
        <v>105.4</v>
      </c>
      <c r="G12" s="123">
        <f>Q12+R12+S12</f>
        <v>143.3</v>
      </c>
      <c r="H12" s="123">
        <v>24.4</v>
      </c>
      <c r="I12" s="123">
        <v>23</v>
      </c>
      <c r="J12" s="123">
        <v>28.4</v>
      </c>
      <c r="K12" s="131">
        <v>26.3</v>
      </c>
      <c r="L12" s="131">
        <v>33.8</v>
      </c>
      <c r="M12" s="123">
        <f>44.6-0.4</f>
        <v>44.2</v>
      </c>
      <c r="N12" s="123">
        <v>28.8</v>
      </c>
      <c r="O12" s="123">
        <v>34.5</v>
      </c>
      <c r="P12" s="123">
        <v>42.1</v>
      </c>
      <c r="Q12" s="123">
        <v>45.3</v>
      </c>
      <c r="R12" s="123">
        <v>52.3</v>
      </c>
      <c r="S12" s="123">
        <v>45.7</v>
      </c>
      <c r="T12" s="123"/>
      <c r="U12" s="168">
        <f>V12+W12+X12+Y12</f>
        <v>558.8</v>
      </c>
      <c r="V12" s="123">
        <f>Z12+AA12+AB12</f>
        <v>82.5</v>
      </c>
      <c r="W12" s="123">
        <f>AC12+AD12+AE12</f>
        <v>134.4</v>
      </c>
      <c r="X12" s="123">
        <f>AF12+AG12+AH12</f>
        <v>162.4</v>
      </c>
      <c r="Y12" s="123">
        <f>AI12+AJ12+AK12</f>
        <v>179.5</v>
      </c>
      <c r="Z12" s="123">
        <v>24.6</v>
      </c>
      <c r="AA12" s="123">
        <v>22.2</v>
      </c>
      <c r="AB12" s="123">
        <v>35.7</v>
      </c>
      <c r="AC12" s="123">
        <v>35.9</v>
      </c>
      <c r="AD12" s="123">
        <v>41.7</v>
      </c>
      <c r="AE12" s="123">
        <v>56.8</v>
      </c>
      <c r="AF12" s="123">
        <v>49.1</v>
      </c>
      <c r="AG12" s="123">
        <v>49.5</v>
      </c>
      <c r="AH12" s="123">
        <v>63.8</v>
      </c>
      <c r="AI12" s="123">
        <v>52.9</v>
      </c>
      <c r="AJ12" s="123">
        <v>58.5</v>
      </c>
      <c r="AK12" s="123">
        <v>68.1</v>
      </c>
      <c r="AL12" s="123"/>
      <c r="AM12" s="168">
        <f>AN12+AO12+AP12+AQ12</f>
        <v>634.5</v>
      </c>
      <c r="AN12" s="123">
        <f>AR12+AS12+AT12</f>
        <v>131.3</v>
      </c>
      <c r="AO12" s="123">
        <f>AU12+AV12+AW12</f>
        <v>142.9</v>
      </c>
      <c r="AP12" s="123">
        <f>AX12+AY12+AZ12</f>
        <v>146</v>
      </c>
      <c r="AQ12" s="123">
        <f>BA12+BB12+BC12</f>
        <v>214.3</v>
      </c>
      <c r="AR12" s="123">
        <v>42</v>
      </c>
      <c r="AS12" s="123">
        <v>46.7</v>
      </c>
      <c r="AT12" s="123">
        <v>42.6</v>
      </c>
      <c r="AU12" s="123">
        <v>41.3</v>
      </c>
      <c r="AV12" s="123">
        <v>51.2</v>
      </c>
      <c r="AW12" s="123">
        <v>50.4</v>
      </c>
      <c r="AX12" s="123">
        <v>39.5</v>
      </c>
      <c r="AY12" s="123">
        <v>50.9</v>
      </c>
      <c r="AZ12" s="123">
        <v>55.6</v>
      </c>
      <c r="BA12" s="123">
        <v>51.5</v>
      </c>
      <c r="BB12" s="123">
        <v>71.8</v>
      </c>
      <c r="BC12" s="123">
        <v>91</v>
      </c>
      <c r="BD12" s="123"/>
      <c r="BE12" s="168">
        <f>BF12+BG12+BH12+BI12</f>
        <v>683.3</v>
      </c>
      <c r="BF12" s="123">
        <f>BJ12+BK12+BL12</f>
        <v>108.7</v>
      </c>
      <c r="BG12" s="123">
        <f>BM12+BN12+BO12</f>
        <v>126.3</v>
      </c>
      <c r="BH12" s="123">
        <f>BP12+BQ12+BR12</f>
        <v>188</v>
      </c>
      <c r="BI12" s="123">
        <f>BS12+BT12+BU12</f>
        <v>260.3</v>
      </c>
      <c r="BJ12" s="123">
        <v>42.4</v>
      </c>
      <c r="BK12" s="123">
        <v>32.1</v>
      </c>
      <c r="BL12" s="123">
        <v>34.2</v>
      </c>
      <c r="BM12" s="123">
        <v>40.9</v>
      </c>
      <c r="BN12" s="123">
        <v>40.6</v>
      </c>
      <c r="BO12" s="123">
        <v>44.8</v>
      </c>
      <c r="BP12" s="123">
        <v>46</v>
      </c>
      <c r="BQ12" s="123">
        <v>76.4</v>
      </c>
      <c r="BR12" s="123">
        <v>65.6</v>
      </c>
      <c r="BS12" s="123">
        <v>84.4</v>
      </c>
      <c r="BT12" s="123">
        <v>84</v>
      </c>
      <c r="BU12" s="123">
        <v>91.9</v>
      </c>
      <c r="BV12" s="123"/>
      <c r="BW12" s="124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4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4"/>
      <c r="DH12" s="123"/>
      <c r="DI12" s="123"/>
      <c r="DJ12" s="123"/>
      <c r="DK12" s="123"/>
      <c r="DL12" s="129"/>
      <c r="DM12" s="129"/>
      <c r="DN12" s="129"/>
      <c r="DO12" s="123"/>
      <c r="DP12" s="123"/>
      <c r="DQ12" s="123"/>
      <c r="DR12" s="123"/>
      <c r="DS12" s="129"/>
      <c r="DT12" s="129"/>
      <c r="DU12" s="123"/>
      <c r="DV12" s="129"/>
      <c r="DW12" s="129"/>
      <c r="DX12" s="129"/>
      <c r="DY12" s="123"/>
      <c r="DZ12" s="123"/>
      <c r="EA12" s="123"/>
      <c r="EB12" s="123"/>
      <c r="EC12" s="125"/>
      <c r="ED12" s="125"/>
      <c r="EE12" s="125"/>
      <c r="EF12" s="125"/>
      <c r="EG12" s="125"/>
      <c r="EH12" s="125"/>
      <c r="EI12" s="125"/>
      <c r="EJ12" s="125"/>
      <c r="EK12" s="125"/>
      <c r="EL12" s="125"/>
      <c r="EM12" s="125"/>
      <c r="EN12" s="125"/>
      <c r="EO12" s="126"/>
      <c r="EP12" s="126"/>
      <c r="EQ12" s="123"/>
      <c r="ER12" s="123"/>
      <c r="ES12" s="123"/>
      <c r="ET12" s="123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4"/>
      <c r="FH12" s="123"/>
      <c r="FI12" s="123"/>
      <c r="FJ12" s="123"/>
      <c r="FK12" s="123"/>
      <c r="FL12" s="123"/>
      <c r="FM12" s="123"/>
      <c r="FN12" s="123"/>
      <c r="FO12" s="123"/>
      <c r="FP12" s="123"/>
      <c r="FQ12" s="123"/>
      <c r="FR12" s="123"/>
      <c r="FS12" s="123"/>
      <c r="FT12" s="123"/>
      <c r="FU12" s="123"/>
      <c r="FV12" s="123"/>
      <c r="FW12" s="123"/>
      <c r="FX12" s="124"/>
      <c r="FY12" s="123"/>
      <c r="FZ12" s="123"/>
      <c r="GA12" s="123"/>
      <c r="GB12" s="123"/>
      <c r="GC12" s="123"/>
      <c r="GD12" s="123"/>
      <c r="GE12" s="123"/>
      <c r="GF12" s="123"/>
      <c r="GG12" s="123"/>
      <c r="GH12" s="123"/>
      <c r="GI12" s="123"/>
      <c r="GJ12" s="123"/>
      <c r="GK12" s="123"/>
      <c r="GL12" s="123"/>
      <c r="GM12" s="123"/>
      <c r="GN12" s="123"/>
      <c r="GO12" s="124"/>
      <c r="GY12" s="53"/>
    </row>
    <row r="13" spans="1:207" ht="12">
      <c r="A13" s="25" t="s">
        <v>42</v>
      </c>
      <c r="B13" s="154" t="s">
        <v>62</v>
      </c>
      <c r="C13" s="169">
        <f>D13+E13+F13+G13</f>
        <v>344.7</v>
      </c>
      <c r="D13" s="127">
        <f>H13+I13+J13</f>
        <v>57.2</v>
      </c>
      <c r="E13" s="127">
        <f>K13+L13+M13</f>
        <v>81.6</v>
      </c>
      <c r="F13" s="127">
        <f>N13+O13+P13</f>
        <v>81</v>
      </c>
      <c r="G13" s="127">
        <f>Q13+R13+S13</f>
        <v>124.9</v>
      </c>
      <c r="H13" s="127">
        <v>18.2</v>
      </c>
      <c r="I13" s="130">
        <v>17.4</v>
      </c>
      <c r="J13" s="127">
        <v>21.6</v>
      </c>
      <c r="K13" s="132">
        <v>19.1</v>
      </c>
      <c r="L13" s="139">
        <v>25.5</v>
      </c>
      <c r="M13" s="130">
        <v>37</v>
      </c>
      <c r="N13" s="127">
        <v>21.8</v>
      </c>
      <c r="O13" s="127">
        <v>27.1</v>
      </c>
      <c r="P13" s="132">
        <v>32.1</v>
      </c>
      <c r="Q13" s="130">
        <v>39.4</v>
      </c>
      <c r="R13" s="130">
        <v>46.5</v>
      </c>
      <c r="S13" s="130">
        <v>39</v>
      </c>
      <c r="T13" s="127"/>
      <c r="U13" s="169">
        <f>V13+W13+X13+Y13</f>
        <v>510.8</v>
      </c>
      <c r="V13" s="127">
        <f>Z13+AA13+AB13</f>
        <v>73.5</v>
      </c>
      <c r="W13" s="127">
        <f>AC13+AD13+AE13</f>
        <v>122.2</v>
      </c>
      <c r="X13" s="127">
        <f>AF13+AG13+AH13</f>
        <v>149.6</v>
      </c>
      <c r="Y13" s="127">
        <f>AI13+AJ13+AK13</f>
        <v>165.5</v>
      </c>
      <c r="Z13" s="127">
        <v>21.9</v>
      </c>
      <c r="AA13" s="127">
        <v>19.1</v>
      </c>
      <c r="AB13" s="127">
        <v>32.5</v>
      </c>
      <c r="AC13" s="127">
        <v>32.2</v>
      </c>
      <c r="AD13" s="127">
        <v>37.6</v>
      </c>
      <c r="AE13" s="127">
        <v>52.4</v>
      </c>
      <c r="AF13" s="127">
        <v>44.7</v>
      </c>
      <c r="AG13" s="127">
        <v>45.2</v>
      </c>
      <c r="AH13" s="127">
        <v>59.7</v>
      </c>
      <c r="AI13" s="127">
        <v>48.2</v>
      </c>
      <c r="AJ13" s="127">
        <v>53.2</v>
      </c>
      <c r="AK13" s="127">
        <v>64.1</v>
      </c>
      <c r="AL13" s="127"/>
      <c r="AM13" s="169">
        <f>AN13+AO13+AP13+AQ13</f>
        <v>579.7</v>
      </c>
      <c r="AN13" s="127">
        <f>AR13+AS13+AT13</f>
        <v>117.9</v>
      </c>
      <c r="AO13" s="127">
        <f>AU13+AV13+AW13</f>
        <v>128.7</v>
      </c>
      <c r="AP13" s="127">
        <f>AX13+AY13+AZ13</f>
        <v>131.8</v>
      </c>
      <c r="AQ13" s="127">
        <f>BA13+BB13+BC13</f>
        <v>201.3</v>
      </c>
      <c r="AR13" s="127">
        <v>37.4</v>
      </c>
      <c r="AS13" s="127">
        <v>42.6</v>
      </c>
      <c r="AT13" s="127">
        <v>37.9</v>
      </c>
      <c r="AU13" s="127">
        <v>36.9</v>
      </c>
      <c r="AV13" s="127">
        <v>46.3</v>
      </c>
      <c r="AW13" s="127">
        <v>45.5</v>
      </c>
      <c r="AX13" s="127">
        <v>34.7</v>
      </c>
      <c r="AY13" s="127">
        <v>46.3</v>
      </c>
      <c r="AZ13" s="127">
        <v>50.8</v>
      </c>
      <c r="BA13" s="127">
        <v>46.8</v>
      </c>
      <c r="BB13" s="127">
        <v>67.1</v>
      </c>
      <c r="BC13" s="127">
        <v>87.4</v>
      </c>
      <c r="BD13" s="127"/>
      <c r="BE13" s="169">
        <f>BF13+BG13+BH13+BI13</f>
        <v>580.8</v>
      </c>
      <c r="BF13" s="127">
        <f>BJ13+BK13+BL13</f>
        <v>106.4</v>
      </c>
      <c r="BG13" s="127">
        <f>BM13+BN13+BO13</f>
        <v>109.6</v>
      </c>
      <c r="BH13" s="127">
        <f>BP13+BQ13+BR13</f>
        <v>148</v>
      </c>
      <c r="BI13" s="127">
        <f>BS13+BT13+BU13</f>
        <v>216.8</v>
      </c>
      <c r="BJ13" s="127">
        <v>42</v>
      </c>
      <c r="BK13" s="127">
        <v>31.5</v>
      </c>
      <c r="BL13" s="127">
        <v>32.9</v>
      </c>
      <c r="BM13" s="127">
        <v>35.2</v>
      </c>
      <c r="BN13" s="127">
        <v>35.7</v>
      </c>
      <c r="BO13" s="127">
        <v>38.7</v>
      </c>
      <c r="BP13" s="127">
        <v>45.1</v>
      </c>
      <c r="BQ13" s="127">
        <v>47.8</v>
      </c>
      <c r="BR13" s="127">
        <v>55.1</v>
      </c>
      <c r="BS13" s="127">
        <v>60.4</v>
      </c>
      <c r="BT13" s="127">
        <v>72.3</v>
      </c>
      <c r="BU13" s="127">
        <v>84.1</v>
      </c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33"/>
      <c r="CP13" s="134"/>
      <c r="CQ13" s="134"/>
      <c r="CR13" s="134"/>
      <c r="CS13" s="134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8"/>
      <c r="DH13" s="127"/>
      <c r="DI13" s="127"/>
      <c r="DJ13" s="127"/>
      <c r="DK13" s="127"/>
      <c r="DL13" s="127"/>
      <c r="DM13" s="127"/>
      <c r="DN13" s="127"/>
      <c r="DO13" s="127"/>
      <c r="DP13" s="127"/>
      <c r="DQ13" s="127"/>
      <c r="DR13" s="127"/>
      <c r="DS13" s="127"/>
      <c r="DT13" s="127"/>
      <c r="DU13" s="127"/>
      <c r="DV13" s="127"/>
      <c r="DW13" s="127"/>
      <c r="DX13" s="127"/>
      <c r="DY13" s="127"/>
      <c r="DZ13" s="127"/>
      <c r="EA13" s="127"/>
      <c r="EB13" s="127"/>
      <c r="EC13" s="127"/>
      <c r="ED13" s="127"/>
      <c r="EE13" s="127"/>
      <c r="EF13" s="127"/>
      <c r="EG13" s="127"/>
      <c r="EH13" s="127"/>
      <c r="EI13" s="127"/>
      <c r="EJ13" s="127"/>
      <c r="EK13" s="127"/>
      <c r="EL13" s="130"/>
      <c r="EM13" s="127"/>
      <c r="EN13" s="135"/>
      <c r="EO13" s="136"/>
      <c r="EP13" s="136"/>
      <c r="EQ13" s="123"/>
      <c r="ER13" s="123"/>
      <c r="ES13" s="123"/>
      <c r="ET13" s="123"/>
      <c r="EU13" s="127"/>
      <c r="EV13" s="127"/>
      <c r="EW13" s="127"/>
      <c r="EX13" s="127"/>
      <c r="EY13" s="127"/>
      <c r="EZ13" s="134"/>
      <c r="FA13" s="127"/>
      <c r="FB13" s="134"/>
      <c r="FC13" s="134"/>
      <c r="FD13" s="134"/>
      <c r="FE13" s="134"/>
      <c r="FF13" s="134"/>
      <c r="FG13" s="128"/>
      <c r="FH13" s="134"/>
      <c r="FI13" s="134"/>
      <c r="FJ13" s="134"/>
      <c r="FK13" s="134"/>
      <c r="FL13" s="127"/>
      <c r="FM13" s="127"/>
      <c r="FN13" s="127"/>
      <c r="FO13" s="134"/>
      <c r="FP13" s="134"/>
      <c r="FQ13" s="134"/>
      <c r="FR13" s="134"/>
      <c r="FS13" s="127"/>
      <c r="FT13" s="127"/>
      <c r="FU13" s="134"/>
      <c r="FV13" s="134"/>
      <c r="FW13" s="127"/>
      <c r="FX13" s="124"/>
      <c r="FY13" s="134"/>
      <c r="FZ13" s="134"/>
      <c r="GA13" s="134"/>
      <c r="GB13" s="134"/>
      <c r="GC13" s="127"/>
      <c r="GD13" s="127"/>
      <c r="GE13" s="127"/>
      <c r="GF13" s="127"/>
      <c r="GG13" s="127"/>
      <c r="GH13" s="127"/>
      <c r="GI13" s="127"/>
      <c r="GJ13" s="127"/>
      <c r="GK13" s="127"/>
      <c r="GL13" s="127"/>
      <c r="GM13" s="127"/>
      <c r="GN13" s="127"/>
      <c r="GO13" s="124"/>
      <c r="GY13" s="53"/>
    </row>
    <row r="14" spans="1:207" ht="24">
      <c r="A14" s="25" t="s">
        <v>50</v>
      </c>
      <c r="B14" s="154" t="s">
        <v>63</v>
      </c>
      <c r="C14" s="169">
        <f>D14+E14+F14+G14</f>
        <v>84.1</v>
      </c>
      <c r="D14" s="127">
        <f>H14+I14+J14</f>
        <v>18.6</v>
      </c>
      <c r="E14" s="127">
        <f>K14+L14+M14</f>
        <v>22.7</v>
      </c>
      <c r="F14" s="127">
        <f>N14+O14+P14</f>
        <v>24.4</v>
      </c>
      <c r="G14" s="127">
        <f>Q14+R14+S14</f>
        <v>18.4</v>
      </c>
      <c r="H14" s="127">
        <v>6.2</v>
      </c>
      <c r="I14" s="127">
        <v>5.6</v>
      </c>
      <c r="J14" s="127">
        <v>6.8</v>
      </c>
      <c r="K14" s="132">
        <v>7.2</v>
      </c>
      <c r="L14" s="132">
        <v>8.3</v>
      </c>
      <c r="M14" s="127">
        <v>7.2</v>
      </c>
      <c r="N14" s="127">
        <v>7</v>
      </c>
      <c r="O14" s="127">
        <v>7.4</v>
      </c>
      <c r="P14" s="127">
        <v>10</v>
      </c>
      <c r="Q14" s="127">
        <f>10.3-4.4</f>
        <v>5.9</v>
      </c>
      <c r="R14" s="127">
        <f>10.2-4.4</f>
        <v>5.8</v>
      </c>
      <c r="S14" s="127">
        <f>11.1-4.4</f>
        <v>6.7</v>
      </c>
      <c r="T14" s="127"/>
      <c r="U14" s="169">
        <f>V14+W14+X14+Y14</f>
        <v>48</v>
      </c>
      <c r="V14" s="127">
        <f>Z14+AA14+AB14</f>
        <v>9</v>
      </c>
      <c r="W14" s="127">
        <f>AC14+AD14+AE14</f>
        <v>12.2</v>
      </c>
      <c r="X14" s="127">
        <f>AF14+AG14+AH14</f>
        <v>12.8</v>
      </c>
      <c r="Y14" s="127">
        <f>AI14+AJ14+AK14</f>
        <v>14</v>
      </c>
      <c r="Z14" s="127">
        <v>2.7</v>
      </c>
      <c r="AA14" s="127">
        <v>3.1</v>
      </c>
      <c r="AB14" s="127">
        <v>3.2</v>
      </c>
      <c r="AC14" s="127">
        <v>3.7</v>
      </c>
      <c r="AD14" s="127">
        <v>4.1</v>
      </c>
      <c r="AE14" s="127">
        <v>4.4</v>
      </c>
      <c r="AF14" s="127">
        <v>4.4</v>
      </c>
      <c r="AG14" s="127">
        <v>4.3</v>
      </c>
      <c r="AH14" s="127">
        <v>4.1</v>
      </c>
      <c r="AI14" s="127">
        <v>4.7</v>
      </c>
      <c r="AJ14" s="127">
        <v>5.3</v>
      </c>
      <c r="AK14" s="127">
        <v>4</v>
      </c>
      <c r="AL14" s="127"/>
      <c r="AM14" s="169">
        <f>AN14+AO14+AP14+AQ14</f>
        <v>54.8</v>
      </c>
      <c r="AN14" s="127">
        <f>AR14+AS14+AT14</f>
        <v>13.4</v>
      </c>
      <c r="AO14" s="127">
        <f>AU14+AV14+AW14</f>
        <v>14.2</v>
      </c>
      <c r="AP14" s="127">
        <f>AX14+AY14+AZ14</f>
        <v>14.2</v>
      </c>
      <c r="AQ14" s="127">
        <f>BA14+BB14+BC14</f>
        <v>13</v>
      </c>
      <c r="AR14" s="127">
        <v>4.6</v>
      </c>
      <c r="AS14" s="127">
        <v>4.1</v>
      </c>
      <c r="AT14" s="127">
        <v>4.7</v>
      </c>
      <c r="AU14" s="127">
        <v>4.4</v>
      </c>
      <c r="AV14" s="127">
        <v>4.9</v>
      </c>
      <c r="AW14" s="127">
        <v>4.9</v>
      </c>
      <c r="AX14" s="127">
        <v>4.8</v>
      </c>
      <c r="AY14" s="127">
        <v>4.6</v>
      </c>
      <c r="AZ14" s="127">
        <v>4.8</v>
      </c>
      <c r="BA14" s="127">
        <v>4.7</v>
      </c>
      <c r="BB14" s="127">
        <v>4.7</v>
      </c>
      <c r="BC14" s="127">
        <v>3.6</v>
      </c>
      <c r="BD14" s="127"/>
      <c r="BE14" s="169">
        <f>BF14+BG14+BH14+BI14</f>
        <v>102.5</v>
      </c>
      <c r="BF14" s="127">
        <f>BJ14+BK14+BL14</f>
        <v>2.3</v>
      </c>
      <c r="BG14" s="127">
        <f>BM14+BN14+BO14</f>
        <v>16.7</v>
      </c>
      <c r="BH14" s="127">
        <f>BP14+BQ14+BR14</f>
        <v>40</v>
      </c>
      <c r="BI14" s="127">
        <f>BS14+BT14+BU14</f>
        <v>43.5</v>
      </c>
      <c r="BJ14" s="127">
        <v>0.4</v>
      </c>
      <c r="BK14" s="127">
        <v>0.6</v>
      </c>
      <c r="BL14" s="127">
        <v>1.3</v>
      </c>
      <c r="BM14" s="127">
        <v>5.7</v>
      </c>
      <c r="BN14" s="127">
        <v>4.9</v>
      </c>
      <c r="BO14" s="127">
        <v>6.1</v>
      </c>
      <c r="BP14" s="127">
        <v>1.1</v>
      </c>
      <c r="BQ14" s="127">
        <v>28.6</v>
      </c>
      <c r="BR14" s="127">
        <v>10.3</v>
      </c>
      <c r="BS14" s="127">
        <v>23.1</v>
      </c>
      <c r="BT14" s="127">
        <v>12.6</v>
      </c>
      <c r="BU14" s="127">
        <v>7.8</v>
      </c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33"/>
      <c r="CP14" s="134"/>
      <c r="CQ14" s="134"/>
      <c r="CR14" s="134"/>
      <c r="CS14" s="134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7"/>
      <c r="DE14" s="127"/>
      <c r="DF14" s="127"/>
      <c r="DG14" s="128"/>
      <c r="DH14" s="127"/>
      <c r="DI14" s="127"/>
      <c r="DJ14" s="127"/>
      <c r="DK14" s="127"/>
      <c r="DL14" s="127"/>
      <c r="DM14" s="127"/>
      <c r="DN14" s="127"/>
      <c r="DO14" s="127"/>
      <c r="DP14" s="127"/>
      <c r="DQ14" s="127"/>
      <c r="DR14" s="127"/>
      <c r="DS14" s="127"/>
      <c r="DT14" s="127"/>
      <c r="DU14" s="127"/>
      <c r="DV14" s="127"/>
      <c r="DW14" s="127"/>
      <c r="DX14" s="127"/>
      <c r="DY14" s="127"/>
      <c r="DZ14" s="127"/>
      <c r="EA14" s="127"/>
      <c r="EB14" s="127"/>
      <c r="EC14" s="127"/>
      <c r="ED14" s="127"/>
      <c r="EE14" s="127"/>
      <c r="EF14" s="127"/>
      <c r="EG14" s="127"/>
      <c r="EH14" s="127"/>
      <c r="EI14" s="127"/>
      <c r="EJ14" s="127"/>
      <c r="EK14" s="127"/>
      <c r="EL14" s="130"/>
      <c r="EM14" s="127"/>
      <c r="EN14" s="130"/>
      <c r="EO14" s="136"/>
      <c r="EP14" s="136"/>
      <c r="EQ14" s="123"/>
      <c r="ER14" s="123"/>
      <c r="ES14" s="123"/>
      <c r="ET14" s="123"/>
      <c r="EU14" s="127"/>
      <c r="EV14" s="127"/>
      <c r="EW14" s="127"/>
      <c r="EX14" s="127"/>
      <c r="EY14" s="127"/>
      <c r="EZ14" s="134"/>
      <c r="FA14" s="127"/>
      <c r="FB14" s="134"/>
      <c r="FC14" s="134"/>
      <c r="FD14" s="134"/>
      <c r="FE14" s="134"/>
      <c r="FF14" s="134"/>
      <c r="FG14" s="128"/>
      <c r="FH14" s="134"/>
      <c r="FI14" s="134"/>
      <c r="FJ14" s="134"/>
      <c r="FK14" s="134"/>
      <c r="FL14" s="127"/>
      <c r="FM14" s="127"/>
      <c r="FN14" s="127"/>
      <c r="FO14" s="134"/>
      <c r="FP14" s="134"/>
      <c r="FQ14" s="134"/>
      <c r="FR14" s="134"/>
      <c r="FS14" s="127"/>
      <c r="FT14" s="127"/>
      <c r="FU14" s="134"/>
      <c r="FV14" s="134"/>
      <c r="FW14" s="127"/>
      <c r="FX14" s="124"/>
      <c r="FY14" s="134"/>
      <c r="FZ14" s="134"/>
      <c r="GA14" s="134"/>
      <c r="GB14" s="134"/>
      <c r="GC14" s="127"/>
      <c r="GD14" s="127"/>
      <c r="GE14" s="127"/>
      <c r="GF14" s="127"/>
      <c r="GG14" s="127"/>
      <c r="GH14" s="127"/>
      <c r="GI14" s="127"/>
      <c r="GJ14" s="127"/>
      <c r="GK14" s="127"/>
      <c r="GL14" s="127"/>
      <c r="GM14" s="127"/>
      <c r="GN14" s="127"/>
      <c r="GO14" s="124"/>
      <c r="GY14" s="53"/>
    </row>
    <row r="15" spans="1:207" ht="12">
      <c r="A15" s="25"/>
      <c r="B15" s="25"/>
      <c r="C15" s="169"/>
      <c r="D15" s="127"/>
      <c r="E15" s="127"/>
      <c r="F15" s="127"/>
      <c r="G15" s="127"/>
      <c r="H15" s="127"/>
      <c r="I15" s="127"/>
      <c r="J15" s="127"/>
      <c r="K15" s="132"/>
      <c r="L15" s="132"/>
      <c r="M15" s="127"/>
      <c r="N15" s="127"/>
      <c r="O15" s="127"/>
      <c r="P15" s="127"/>
      <c r="Q15" s="127"/>
      <c r="R15" s="127"/>
      <c r="S15" s="127"/>
      <c r="T15" s="127"/>
      <c r="U15" s="168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69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69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4"/>
      <c r="CP15" s="123"/>
      <c r="CQ15" s="123"/>
      <c r="CR15" s="123"/>
      <c r="CS15" s="123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8"/>
      <c r="DH15" s="123"/>
      <c r="DI15" s="123"/>
      <c r="DJ15" s="123"/>
      <c r="DK15" s="123"/>
      <c r="DL15" s="132"/>
      <c r="DM15" s="132"/>
      <c r="DN15" s="132"/>
      <c r="DO15" s="132"/>
      <c r="DP15" s="132"/>
      <c r="DQ15" s="132"/>
      <c r="DR15" s="132"/>
      <c r="DS15" s="132"/>
      <c r="DT15" s="132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7"/>
      <c r="EL15" s="127"/>
      <c r="EM15" s="127"/>
      <c r="EN15" s="130"/>
      <c r="EO15" s="126"/>
      <c r="EP15" s="126"/>
      <c r="EQ15" s="123"/>
      <c r="ER15" s="123"/>
      <c r="ES15" s="123"/>
      <c r="ET15" s="123"/>
      <c r="EU15" s="127"/>
      <c r="EV15" s="127"/>
      <c r="EW15" s="127"/>
      <c r="EX15" s="127"/>
      <c r="EY15" s="127"/>
      <c r="EZ15" s="123"/>
      <c r="FA15" s="127"/>
      <c r="FB15" s="123"/>
      <c r="FC15" s="123"/>
      <c r="FD15" s="123"/>
      <c r="FE15" s="123"/>
      <c r="FF15" s="123"/>
      <c r="FG15" s="124"/>
      <c r="FH15" s="123"/>
      <c r="FI15" s="123"/>
      <c r="FJ15" s="123"/>
      <c r="FK15" s="123"/>
      <c r="FL15" s="127"/>
      <c r="FM15" s="127"/>
      <c r="FN15" s="127"/>
      <c r="FO15" s="123"/>
      <c r="FP15" s="123"/>
      <c r="FQ15" s="123"/>
      <c r="FR15" s="123"/>
      <c r="FS15" s="127"/>
      <c r="FT15" s="127"/>
      <c r="FU15" s="123"/>
      <c r="FV15" s="123"/>
      <c r="FW15" s="127"/>
      <c r="FX15" s="124"/>
      <c r="FY15" s="123"/>
      <c r="FZ15" s="123"/>
      <c r="GA15" s="123"/>
      <c r="GB15" s="123"/>
      <c r="GC15" s="127"/>
      <c r="GD15" s="127"/>
      <c r="GE15" s="127"/>
      <c r="GF15" s="127"/>
      <c r="GG15" s="127"/>
      <c r="GH15" s="127"/>
      <c r="GI15" s="127"/>
      <c r="GJ15" s="127"/>
      <c r="GK15" s="127"/>
      <c r="GL15" s="127"/>
      <c r="GM15" s="127"/>
      <c r="GN15" s="127"/>
      <c r="GO15" s="124"/>
      <c r="GY15" s="53"/>
    </row>
    <row r="16" spans="1:207" s="13" customFormat="1" ht="12">
      <c r="A16" s="28" t="s">
        <v>37</v>
      </c>
      <c r="B16" s="28" t="s">
        <v>18</v>
      </c>
      <c r="C16" s="123">
        <f aca="true" t="shared" si="1" ref="C16:C30">D16+E16+F16+G16</f>
        <v>25853.2</v>
      </c>
      <c r="D16" s="123">
        <f aca="true" t="shared" si="2" ref="D16:D30">H16+I16+J16</f>
        <v>4939.4</v>
      </c>
      <c r="E16" s="123">
        <f aca="true" t="shared" si="3" ref="E16:E30">K16+L16+M16</f>
        <v>5366.6</v>
      </c>
      <c r="F16" s="123">
        <f aca="true" t="shared" si="4" ref="F16:F30">N16+O16+P16</f>
        <v>6829.8</v>
      </c>
      <c r="G16" s="123">
        <f aca="true" t="shared" si="5" ref="G16:G30">Q16+R16+S16</f>
        <v>8717.4</v>
      </c>
      <c r="H16" s="123">
        <f>1996.1-212.3</f>
        <v>1783.8</v>
      </c>
      <c r="I16" s="123">
        <f>1722.1-212.3</f>
        <v>1509.8</v>
      </c>
      <c r="J16" s="123">
        <f>1858.1-212.3</f>
        <v>1645.8</v>
      </c>
      <c r="K16" s="131">
        <f>1922-212.3</f>
        <v>1709.7</v>
      </c>
      <c r="L16" s="131">
        <f>2150.8-212.3</f>
        <v>1938.5</v>
      </c>
      <c r="M16" s="123">
        <f>1930.7-212.3</f>
        <v>1718.4</v>
      </c>
      <c r="N16" s="123">
        <f>2203.2-212.3</f>
        <v>1990.9</v>
      </c>
      <c r="O16" s="123">
        <f>2137.5-212.3</f>
        <v>1925.2</v>
      </c>
      <c r="P16" s="123">
        <f>3126-212.3</f>
        <v>2913.7</v>
      </c>
      <c r="Q16" s="129">
        <v>2694.9</v>
      </c>
      <c r="R16" s="123">
        <f>3406.5-212.3-35.2</f>
        <v>3159</v>
      </c>
      <c r="S16" s="123">
        <f>3075.8-212.3</f>
        <v>2863.5</v>
      </c>
      <c r="T16" s="123"/>
      <c r="U16" s="168">
        <f aca="true" t="shared" si="6" ref="U16:U30">V16+W16+X16+Y16</f>
        <v>33467.5</v>
      </c>
      <c r="V16" s="123">
        <f aca="true" t="shared" si="7" ref="V16:V30">Z16+AA16+AB16</f>
        <v>7053.8</v>
      </c>
      <c r="W16" s="123">
        <f aca="true" t="shared" si="8" ref="W16:W30">AC16+AD16+AE16</f>
        <v>7685.4</v>
      </c>
      <c r="X16" s="123">
        <f aca="true" t="shared" si="9" ref="X16:X30">AF16+AG16+AH16</f>
        <v>8274.2</v>
      </c>
      <c r="Y16" s="123">
        <f aca="true" t="shared" si="10" ref="Y16:Y30">AI16+AJ16+AK16</f>
        <v>10454.1</v>
      </c>
      <c r="Z16" s="123">
        <v>2122.8</v>
      </c>
      <c r="AA16" s="123">
        <v>2509.1</v>
      </c>
      <c r="AB16" s="123">
        <v>2421.9</v>
      </c>
      <c r="AC16" s="123">
        <v>2219.1</v>
      </c>
      <c r="AD16" s="123">
        <v>2799.5</v>
      </c>
      <c r="AE16" s="123">
        <v>2666.8</v>
      </c>
      <c r="AF16" s="123">
        <v>2756.3</v>
      </c>
      <c r="AG16" s="123">
        <v>2604.1</v>
      </c>
      <c r="AH16" s="123">
        <v>2913.8</v>
      </c>
      <c r="AI16" s="123">
        <v>3284.6</v>
      </c>
      <c r="AJ16" s="123">
        <v>4159</v>
      </c>
      <c r="AK16" s="123">
        <v>3010.5</v>
      </c>
      <c r="AL16" s="123"/>
      <c r="AM16" s="168">
        <f aca="true" t="shared" si="11" ref="AM16:AM30">AN16+AO16+AP16+AQ16</f>
        <v>36435.9</v>
      </c>
      <c r="AN16" s="123">
        <f aca="true" t="shared" si="12" ref="AN16:AN30">AR16+AS16+AT16</f>
        <v>8763.5</v>
      </c>
      <c r="AO16" s="123">
        <f aca="true" t="shared" si="13" ref="AO16:AO30">AU16+AV16+AW16</f>
        <v>8310.8</v>
      </c>
      <c r="AP16" s="123">
        <f aca="true" t="shared" si="14" ref="AP16:AP30">AX16+AY16+AZ16</f>
        <v>8636.4</v>
      </c>
      <c r="AQ16" s="123">
        <f aca="true" t="shared" si="15" ref="AQ16:AQ30">BA16+BB16+BC16</f>
        <v>10725.2</v>
      </c>
      <c r="AR16" s="123">
        <v>3337</v>
      </c>
      <c r="AS16" s="123">
        <v>2528.4</v>
      </c>
      <c r="AT16" s="123">
        <v>2898.1</v>
      </c>
      <c r="AU16" s="123">
        <v>2714.4</v>
      </c>
      <c r="AV16" s="123">
        <v>2706.8</v>
      </c>
      <c r="AW16" s="123">
        <v>2889.6</v>
      </c>
      <c r="AX16" s="123">
        <v>2753.5</v>
      </c>
      <c r="AY16" s="123">
        <v>2469.1</v>
      </c>
      <c r="AZ16" s="123">
        <v>3413.8</v>
      </c>
      <c r="BA16" s="123">
        <v>3657.7</v>
      </c>
      <c r="BB16" s="123">
        <v>3841.7</v>
      </c>
      <c r="BC16" s="123">
        <v>3225.8</v>
      </c>
      <c r="BD16" s="123"/>
      <c r="BE16" s="168">
        <f aca="true" t="shared" si="16" ref="BE16:BE30">BF16+BG16+BH16+BI16</f>
        <v>32465</v>
      </c>
      <c r="BF16" s="123">
        <f aca="true" t="shared" si="17" ref="BF16:BF30">BJ16+BK16+BL16</f>
        <v>7530</v>
      </c>
      <c r="BG16" s="123">
        <f aca="true" t="shared" si="18" ref="BG16:BG30">BM16+BN16+BO16</f>
        <v>7805.1</v>
      </c>
      <c r="BH16" s="123">
        <f aca="true" t="shared" si="19" ref="BH16:BH30">BP16+BQ16+BR16</f>
        <v>7427.8</v>
      </c>
      <c r="BI16" s="123">
        <f aca="true" t="shared" si="20" ref="BI16:BI30">BS16+BT16+BU16</f>
        <v>9702.1</v>
      </c>
      <c r="BJ16" s="123">
        <v>2389.5</v>
      </c>
      <c r="BK16" s="123">
        <v>2693.9</v>
      </c>
      <c r="BL16" s="123">
        <v>2446.6</v>
      </c>
      <c r="BM16" s="123">
        <v>2822.4</v>
      </c>
      <c r="BN16" s="123">
        <v>2483.1</v>
      </c>
      <c r="BO16" s="123">
        <v>2499.6</v>
      </c>
      <c r="BP16" s="123">
        <v>2279.7</v>
      </c>
      <c r="BQ16" s="123">
        <v>2285.2</v>
      </c>
      <c r="BR16" s="123">
        <v>2862.9</v>
      </c>
      <c r="BS16" s="123">
        <v>2755.3</v>
      </c>
      <c r="BT16" s="123">
        <v>2834.8</v>
      </c>
      <c r="BU16" s="123">
        <v>4112</v>
      </c>
      <c r="BV16" s="123"/>
      <c r="BW16" s="124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4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4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9"/>
      <c r="DW16" s="129"/>
      <c r="DX16" s="129"/>
      <c r="DY16" s="123"/>
      <c r="DZ16" s="123"/>
      <c r="EA16" s="123"/>
      <c r="EB16" s="123"/>
      <c r="EC16" s="125"/>
      <c r="ED16" s="125"/>
      <c r="EE16" s="125"/>
      <c r="EF16" s="125"/>
      <c r="EG16" s="125"/>
      <c r="EH16" s="125"/>
      <c r="EI16" s="125"/>
      <c r="EJ16" s="125"/>
      <c r="EK16" s="125"/>
      <c r="EL16" s="125"/>
      <c r="EM16" s="125"/>
      <c r="EN16" s="125"/>
      <c r="EO16" s="126"/>
      <c r="EP16" s="126"/>
      <c r="EQ16" s="123"/>
      <c r="ER16" s="123"/>
      <c r="ES16" s="123"/>
      <c r="ET16" s="123"/>
      <c r="EU16" s="125"/>
      <c r="EV16" s="125"/>
      <c r="EW16" s="125"/>
      <c r="EX16" s="125"/>
      <c r="EY16" s="125"/>
      <c r="EZ16" s="125"/>
      <c r="FA16" s="125"/>
      <c r="FB16" s="125"/>
      <c r="FC16" s="125"/>
      <c r="FD16" s="125"/>
      <c r="FE16" s="125"/>
      <c r="FF16" s="125"/>
      <c r="FG16" s="124"/>
      <c r="FH16" s="123"/>
      <c r="FI16" s="123"/>
      <c r="FJ16" s="123"/>
      <c r="FK16" s="123"/>
      <c r="FL16" s="123"/>
      <c r="FM16" s="123"/>
      <c r="FN16" s="123"/>
      <c r="FO16" s="123"/>
      <c r="FP16" s="123"/>
      <c r="FQ16" s="123"/>
      <c r="FR16" s="123"/>
      <c r="FS16" s="123"/>
      <c r="FT16" s="123"/>
      <c r="FU16" s="123"/>
      <c r="FV16" s="123"/>
      <c r="FW16" s="123"/>
      <c r="FX16" s="124"/>
      <c r="FY16" s="123"/>
      <c r="FZ16" s="123"/>
      <c r="GA16" s="123"/>
      <c r="GB16" s="123"/>
      <c r="GC16" s="123"/>
      <c r="GD16" s="123"/>
      <c r="GE16" s="123"/>
      <c r="GF16" s="123"/>
      <c r="GG16" s="123"/>
      <c r="GH16" s="123"/>
      <c r="GI16" s="123"/>
      <c r="GJ16" s="123"/>
      <c r="GK16" s="123"/>
      <c r="GL16" s="123"/>
      <c r="GM16" s="123"/>
      <c r="GN16" s="123"/>
      <c r="GO16" s="124"/>
      <c r="GY16" s="53"/>
    </row>
    <row r="17" spans="1:207" ht="24">
      <c r="A17" s="108" t="s">
        <v>51</v>
      </c>
      <c r="B17" s="154" t="s">
        <v>64</v>
      </c>
      <c r="C17" s="169">
        <f t="shared" si="1"/>
        <v>5885</v>
      </c>
      <c r="D17" s="127">
        <f t="shared" si="2"/>
        <v>983.8</v>
      </c>
      <c r="E17" s="127">
        <f t="shared" si="3"/>
        <v>475.8</v>
      </c>
      <c r="F17" s="127">
        <f t="shared" si="4"/>
        <v>1739.8</v>
      </c>
      <c r="G17" s="127">
        <f t="shared" si="5"/>
        <v>2685.6</v>
      </c>
      <c r="H17" s="130">
        <v>379.8</v>
      </c>
      <c r="I17" s="130">
        <v>277.1</v>
      </c>
      <c r="J17" s="130">
        <v>326.9</v>
      </c>
      <c r="K17" s="139">
        <v>133.1</v>
      </c>
      <c r="L17" s="130">
        <v>138</v>
      </c>
      <c r="M17" s="130">
        <v>204.7</v>
      </c>
      <c r="N17" s="130">
        <v>484.4</v>
      </c>
      <c r="O17" s="130">
        <v>385.6</v>
      </c>
      <c r="P17" s="130">
        <v>869.8</v>
      </c>
      <c r="Q17" s="130">
        <v>842.1</v>
      </c>
      <c r="R17" s="130">
        <v>964.3</v>
      </c>
      <c r="S17" s="130">
        <v>879.2</v>
      </c>
      <c r="T17" s="127"/>
      <c r="U17" s="169">
        <f t="shared" si="6"/>
        <v>7657.5</v>
      </c>
      <c r="V17" s="127">
        <f t="shared" si="7"/>
        <v>1939.1</v>
      </c>
      <c r="W17" s="127">
        <f t="shared" si="8"/>
        <v>1633.9</v>
      </c>
      <c r="X17" s="127">
        <f t="shared" si="9"/>
        <v>1492.2</v>
      </c>
      <c r="Y17" s="127">
        <f t="shared" si="10"/>
        <v>2592.3</v>
      </c>
      <c r="Z17" s="127">
        <f>762.6-209.1+0.6</f>
        <v>554.1</v>
      </c>
      <c r="AA17" s="127">
        <f>795-209.1</f>
        <v>585.9</v>
      </c>
      <c r="AB17" s="127">
        <f>1008.2-209.1</f>
        <v>799.1</v>
      </c>
      <c r="AC17" s="127">
        <f>786.9-209.1</f>
        <v>577.8</v>
      </c>
      <c r="AD17" s="127">
        <f>787.7-209.1</f>
        <v>578.6</v>
      </c>
      <c r="AE17" s="127">
        <f>686.6-209.1</f>
        <v>477.5</v>
      </c>
      <c r="AF17" s="127">
        <f>650.2-209.1</f>
        <v>441.1</v>
      </c>
      <c r="AG17" s="127">
        <f>683.7-209.1</f>
        <v>474.6</v>
      </c>
      <c r="AH17" s="127">
        <f>785.6-209.1</f>
        <v>576.5</v>
      </c>
      <c r="AI17" s="127">
        <f>961.2-209.1</f>
        <v>752.1</v>
      </c>
      <c r="AJ17" s="127">
        <f>1143.6-209.1</f>
        <v>934.5</v>
      </c>
      <c r="AK17" s="127">
        <f>1114.8-209.1</f>
        <v>905.7</v>
      </c>
      <c r="AL17" s="127"/>
      <c r="AM17" s="169">
        <f t="shared" si="11"/>
        <v>7787.1</v>
      </c>
      <c r="AN17" s="127">
        <f t="shared" si="12"/>
        <v>1573.3</v>
      </c>
      <c r="AO17" s="127">
        <f t="shared" si="13"/>
        <v>1788.5</v>
      </c>
      <c r="AP17" s="127">
        <f t="shared" si="14"/>
        <v>1736.3</v>
      </c>
      <c r="AQ17" s="127">
        <f t="shared" si="15"/>
        <v>2689</v>
      </c>
      <c r="AR17" s="127">
        <f>730-208.2</f>
        <v>521.8</v>
      </c>
      <c r="AS17" s="127">
        <f>668.5-208.2</f>
        <v>460.3</v>
      </c>
      <c r="AT17" s="127">
        <v>591.2</v>
      </c>
      <c r="AU17" s="127">
        <f>741.2-208.2</f>
        <v>533</v>
      </c>
      <c r="AV17" s="127">
        <f>798.7-208.2</f>
        <v>590.5</v>
      </c>
      <c r="AW17" s="127">
        <f>873.2-208.2</f>
        <v>665</v>
      </c>
      <c r="AX17" s="127">
        <f>661-208.2</f>
        <v>452.8</v>
      </c>
      <c r="AY17" s="127">
        <f>755.6-208.2</f>
        <v>547.4</v>
      </c>
      <c r="AZ17" s="127">
        <f>944.3-208.2</f>
        <v>736.1</v>
      </c>
      <c r="BA17" s="127">
        <f>962.6-208.2</f>
        <v>754.4</v>
      </c>
      <c r="BB17" s="127">
        <f>1299.3-208.2</f>
        <v>1091.1</v>
      </c>
      <c r="BC17" s="127">
        <f>1051.7-208.2</f>
        <v>843.5</v>
      </c>
      <c r="BD17" s="127"/>
      <c r="BE17" s="169">
        <f t="shared" si="16"/>
        <v>8328.5</v>
      </c>
      <c r="BF17" s="127">
        <f t="shared" si="17"/>
        <v>1561.5</v>
      </c>
      <c r="BG17" s="127">
        <f t="shared" si="18"/>
        <v>1652.6</v>
      </c>
      <c r="BH17" s="127">
        <f t="shared" si="19"/>
        <v>2069.8</v>
      </c>
      <c r="BI17" s="127">
        <f t="shared" si="20"/>
        <v>3044.6</v>
      </c>
      <c r="BJ17" s="127">
        <f>644-191.3</f>
        <v>452.7</v>
      </c>
      <c r="BK17" s="127">
        <v>597</v>
      </c>
      <c r="BL17" s="127">
        <f>703.1-191.3</f>
        <v>511.8</v>
      </c>
      <c r="BM17" s="127">
        <f>709.1-191.3</f>
        <v>517.8</v>
      </c>
      <c r="BN17" s="127">
        <f>745.1-191.3</f>
        <v>553.8</v>
      </c>
      <c r="BO17" s="127">
        <f>772.3-191.3</f>
        <v>581</v>
      </c>
      <c r="BP17" s="127">
        <f>864.1-191.3</f>
        <v>672.8</v>
      </c>
      <c r="BQ17" s="127">
        <f>842.1-191.3</f>
        <v>650.8</v>
      </c>
      <c r="BR17" s="127">
        <f>937.5-191.3</f>
        <v>746.2</v>
      </c>
      <c r="BS17" s="127">
        <f>1071.3-191.3</f>
        <v>880</v>
      </c>
      <c r="BT17" s="127">
        <f>1178.3-191.3</f>
        <v>987</v>
      </c>
      <c r="BU17" s="127">
        <f>1368.9-191.3</f>
        <v>1177.6</v>
      </c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33"/>
      <c r="CP17" s="134"/>
      <c r="CQ17" s="134"/>
      <c r="CR17" s="134"/>
      <c r="CS17" s="134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8"/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7"/>
      <c r="EE17" s="127"/>
      <c r="EF17" s="127"/>
      <c r="EG17" s="127"/>
      <c r="EH17" s="127"/>
      <c r="EI17" s="127"/>
      <c r="EJ17" s="127"/>
      <c r="EK17" s="127"/>
      <c r="EL17" s="127"/>
      <c r="EM17" s="127"/>
      <c r="EN17" s="127"/>
      <c r="EO17" s="136"/>
      <c r="EP17" s="136"/>
      <c r="EQ17" s="123"/>
      <c r="ER17" s="123"/>
      <c r="ES17" s="123"/>
      <c r="ET17" s="123"/>
      <c r="EU17" s="127"/>
      <c r="EV17" s="127"/>
      <c r="EW17" s="127"/>
      <c r="EX17" s="127"/>
      <c r="EY17" s="127"/>
      <c r="EZ17" s="134"/>
      <c r="FA17" s="127"/>
      <c r="FB17" s="134"/>
      <c r="FC17" s="134"/>
      <c r="FD17" s="134"/>
      <c r="FE17" s="134"/>
      <c r="FF17" s="134"/>
      <c r="FG17" s="128"/>
      <c r="FH17" s="134"/>
      <c r="FI17" s="134"/>
      <c r="FJ17" s="134"/>
      <c r="FK17" s="134"/>
      <c r="FL17" s="127"/>
      <c r="FM17" s="127"/>
      <c r="FN17" s="137"/>
      <c r="FO17" s="134"/>
      <c r="FP17" s="134"/>
      <c r="FQ17" s="134"/>
      <c r="FR17" s="134"/>
      <c r="FS17" s="127"/>
      <c r="FT17" s="127"/>
      <c r="FU17" s="134"/>
      <c r="FV17" s="134"/>
      <c r="FW17" s="127"/>
      <c r="FX17" s="124"/>
      <c r="FY17" s="134"/>
      <c r="FZ17" s="134"/>
      <c r="GA17" s="134"/>
      <c r="GB17" s="134"/>
      <c r="GC17" s="127"/>
      <c r="GD17" s="127"/>
      <c r="GE17" s="127"/>
      <c r="GF17" s="127"/>
      <c r="GG17" s="127"/>
      <c r="GH17" s="127"/>
      <c r="GI17" s="127"/>
      <c r="GJ17" s="127"/>
      <c r="GK17" s="127"/>
      <c r="GL17" s="127"/>
      <c r="GM17" s="127"/>
      <c r="GN17" s="127"/>
      <c r="GO17" s="124"/>
      <c r="GY17" s="107"/>
    </row>
    <row r="18" spans="1:197" ht="12">
      <c r="A18" s="108" t="s">
        <v>38</v>
      </c>
      <c r="B18" s="154" t="s">
        <v>65</v>
      </c>
      <c r="C18" s="169">
        <f t="shared" si="1"/>
        <v>1673.5</v>
      </c>
      <c r="D18" s="127">
        <f t="shared" si="2"/>
        <v>395.8</v>
      </c>
      <c r="E18" s="127">
        <f t="shared" si="3"/>
        <v>431.9</v>
      </c>
      <c r="F18" s="127">
        <f t="shared" si="4"/>
        <v>443.7</v>
      </c>
      <c r="G18" s="127">
        <f t="shared" si="5"/>
        <v>402.1</v>
      </c>
      <c r="H18" s="127">
        <v>129</v>
      </c>
      <c r="I18" s="127">
        <v>140.5</v>
      </c>
      <c r="J18" s="127">
        <v>126.3</v>
      </c>
      <c r="K18" s="132">
        <f>160-10.7</f>
        <v>149.3</v>
      </c>
      <c r="L18" s="127">
        <v>153.2</v>
      </c>
      <c r="M18" s="127">
        <v>129.4</v>
      </c>
      <c r="N18" s="127">
        <v>139.4</v>
      </c>
      <c r="O18" s="127">
        <v>150.3</v>
      </c>
      <c r="P18" s="127">
        <v>154</v>
      </c>
      <c r="Q18" s="127">
        <v>129.8</v>
      </c>
      <c r="R18" s="127">
        <v>147.3</v>
      </c>
      <c r="S18" s="127">
        <v>125</v>
      </c>
      <c r="T18" s="127"/>
      <c r="U18" s="169">
        <f t="shared" si="6"/>
        <v>2032.5</v>
      </c>
      <c r="V18" s="127">
        <f t="shared" si="7"/>
        <v>386.2</v>
      </c>
      <c r="W18" s="127">
        <f t="shared" si="8"/>
        <v>128.6</v>
      </c>
      <c r="X18" s="127">
        <f t="shared" si="9"/>
        <v>313.9</v>
      </c>
      <c r="Y18" s="127">
        <f t="shared" si="10"/>
        <v>1203.8</v>
      </c>
      <c r="Z18" s="127">
        <f>195.8-42.1</f>
        <v>153.7</v>
      </c>
      <c r="AA18" s="127">
        <f>220.2-42.1</f>
        <v>178.1</v>
      </c>
      <c r="AB18" s="127">
        <f>96.5-42.1</f>
        <v>54.4</v>
      </c>
      <c r="AC18" s="127">
        <f>63.2-42.1</f>
        <v>21.1</v>
      </c>
      <c r="AD18" s="127">
        <f>64.4-42.1</f>
        <v>22.3</v>
      </c>
      <c r="AE18" s="127">
        <f>127.3-42.1</f>
        <v>85.2</v>
      </c>
      <c r="AF18" s="127">
        <f>80-42.1</f>
        <v>37.9</v>
      </c>
      <c r="AG18" s="127">
        <f>90.3-42.1+0.5</f>
        <v>48.7</v>
      </c>
      <c r="AH18" s="127">
        <f>269.4-42.1</f>
        <v>227.3</v>
      </c>
      <c r="AI18" s="127">
        <f>444.1-42.1</f>
        <v>402</v>
      </c>
      <c r="AJ18" s="127">
        <f>509.9-42.1</f>
        <v>467.8</v>
      </c>
      <c r="AK18" s="127">
        <f>376.1-42.1</f>
        <v>334</v>
      </c>
      <c r="AL18" s="127"/>
      <c r="AM18" s="169">
        <f t="shared" si="11"/>
        <v>1992.9</v>
      </c>
      <c r="AN18" s="127">
        <f t="shared" si="12"/>
        <v>434.7</v>
      </c>
      <c r="AO18" s="127">
        <f t="shared" si="13"/>
        <v>155.1</v>
      </c>
      <c r="AP18" s="127">
        <f t="shared" si="14"/>
        <v>255</v>
      </c>
      <c r="AQ18" s="127">
        <f t="shared" si="15"/>
        <v>1148.1</v>
      </c>
      <c r="AR18" s="127">
        <f>275.5-58.2</f>
        <v>217.3</v>
      </c>
      <c r="AS18" s="127">
        <f>214.4-58.2</f>
        <v>156.2</v>
      </c>
      <c r="AT18" s="127">
        <f>119.4-58.2</f>
        <v>61.2</v>
      </c>
      <c r="AU18" s="127">
        <v>24.7</v>
      </c>
      <c r="AV18" s="127">
        <f>93.6-58.2</f>
        <v>35.4</v>
      </c>
      <c r="AW18" s="127">
        <f>153.2-58.2</f>
        <v>95</v>
      </c>
      <c r="AX18" s="127">
        <f>73.9-58.2</f>
        <v>15.7</v>
      </c>
      <c r="AY18" s="127">
        <f>77.5-58.2</f>
        <v>19.3</v>
      </c>
      <c r="AZ18" s="127">
        <f>336.4-58.2-58.2</f>
        <v>220</v>
      </c>
      <c r="BA18" s="127">
        <f>366.4-58.2-58.2</f>
        <v>250</v>
      </c>
      <c r="BB18" s="127">
        <v>458.1</v>
      </c>
      <c r="BC18" s="127">
        <v>440</v>
      </c>
      <c r="BD18" s="127"/>
      <c r="BE18" s="169">
        <f t="shared" si="16"/>
        <v>1652.1</v>
      </c>
      <c r="BF18" s="127">
        <f t="shared" si="17"/>
        <v>376.8</v>
      </c>
      <c r="BG18" s="127">
        <f t="shared" si="18"/>
        <v>273</v>
      </c>
      <c r="BH18" s="127">
        <f t="shared" si="19"/>
        <v>287</v>
      </c>
      <c r="BI18" s="127">
        <f t="shared" si="20"/>
        <v>715.3</v>
      </c>
      <c r="BJ18" s="127">
        <f>277.3-140.9</f>
        <v>136.4</v>
      </c>
      <c r="BK18" s="127">
        <f>322-141-20</f>
        <v>161</v>
      </c>
      <c r="BL18" s="127">
        <f>169.4-90</f>
        <v>79.4</v>
      </c>
      <c r="BM18" s="127">
        <v>97.5</v>
      </c>
      <c r="BN18" s="127">
        <v>80.3</v>
      </c>
      <c r="BO18" s="127">
        <v>95.2</v>
      </c>
      <c r="BP18" s="127">
        <v>93.8</v>
      </c>
      <c r="BQ18" s="127">
        <v>98.2</v>
      </c>
      <c r="BR18" s="127">
        <f>345-250</f>
        <v>95</v>
      </c>
      <c r="BS18" s="127">
        <f>434.8-250</f>
        <v>184.8</v>
      </c>
      <c r="BT18" s="127">
        <f>431.8-259</f>
        <v>172.8</v>
      </c>
      <c r="BU18" s="127">
        <f>616.7-259</f>
        <v>357.7</v>
      </c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33"/>
      <c r="CP18" s="134"/>
      <c r="CQ18" s="134"/>
      <c r="CR18" s="134"/>
      <c r="CS18" s="134"/>
      <c r="CT18" s="127"/>
      <c r="CU18" s="127"/>
      <c r="CV18" s="138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8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7"/>
      <c r="DT18" s="127"/>
      <c r="DU18" s="127"/>
      <c r="DV18" s="127"/>
      <c r="DW18" s="127"/>
      <c r="DX18" s="127"/>
      <c r="DY18" s="127"/>
      <c r="DZ18" s="127"/>
      <c r="EA18" s="127"/>
      <c r="EB18" s="127"/>
      <c r="EC18" s="127"/>
      <c r="ED18" s="127"/>
      <c r="EE18" s="127"/>
      <c r="EF18" s="127"/>
      <c r="EG18" s="127"/>
      <c r="EH18" s="127"/>
      <c r="EI18" s="127"/>
      <c r="EJ18" s="127"/>
      <c r="EK18" s="127"/>
      <c r="EL18" s="127"/>
      <c r="EM18" s="127"/>
      <c r="EN18" s="127"/>
      <c r="EO18" s="136"/>
      <c r="EP18" s="136"/>
      <c r="EQ18" s="123"/>
      <c r="ER18" s="123"/>
      <c r="ES18" s="123"/>
      <c r="ET18" s="123"/>
      <c r="EU18" s="127"/>
      <c r="EV18" s="127"/>
      <c r="EW18" s="127"/>
      <c r="EX18" s="127"/>
      <c r="EY18" s="127"/>
      <c r="EZ18" s="134"/>
      <c r="FA18" s="127"/>
      <c r="FB18" s="134"/>
      <c r="FC18" s="134"/>
      <c r="FD18" s="134"/>
      <c r="FE18" s="134"/>
      <c r="FF18" s="134"/>
      <c r="FG18" s="128"/>
      <c r="FH18" s="134"/>
      <c r="FI18" s="134"/>
      <c r="FJ18" s="134"/>
      <c r="FK18" s="134"/>
      <c r="FL18" s="127"/>
      <c r="FM18" s="127"/>
      <c r="FN18" s="137"/>
      <c r="FO18" s="134"/>
      <c r="FP18" s="134"/>
      <c r="FQ18" s="134"/>
      <c r="FR18" s="134"/>
      <c r="FS18" s="127"/>
      <c r="FT18" s="127"/>
      <c r="FU18" s="134"/>
      <c r="FV18" s="134"/>
      <c r="FW18" s="127"/>
      <c r="FX18" s="124"/>
      <c r="FY18" s="134"/>
      <c r="FZ18" s="134"/>
      <c r="GA18" s="134"/>
      <c r="GB18" s="134"/>
      <c r="GC18" s="127"/>
      <c r="GD18" s="127"/>
      <c r="GE18" s="127"/>
      <c r="GF18" s="127"/>
      <c r="GG18" s="127"/>
      <c r="GH18" s="127"/>
      <c r="GI18" s="127"/>
      <c r="GJ18" s="127"/>
      <c r="GK18" s="127"/>
      <c r="GL18" s="127"/>
      <c r="GM18" s="127"/>
      <c r="GN18" s="127"/>
      <c r="GO18" s="124"/>
    </row>
    <row r="19" spans="1:197" ht="24">
      <c r="A19" s="108" t="s">
        <v>52</v>
      </c>
      <c r="B19" s="154" t="s">
        <v>66</v>
      </c>
      <c r="C19" s="169">
        <f t="shared" si="1"/>
        <v>72.3</v>
      </c>
      <c r="D19" s="127">
        <f t="shared" si="2"/>
        <v>7.8</v>
      </c>
      <c r="E19" s="127">
        <f t="shared" si="3"/>
        <v>13.6</v>
      </c>
      <c r="F19" s="127">
        <f t="shared" si="4"/>
        <v>23.5</v>
      </c>
      <c r="G19" s="127">
        <f t="shared" si="5"/>
        <v>27.4</v>
      </c>
      <c r="H19" s="127">
        <f>1.5+0.3</f>
        <v>1.8</v>
      </c>
      <c r="I19" s="127">
        <v>2.6</v>
      </c>
      <c r="J19" s="127">
        <v>3.4</v>
      </c>
      <c r="K19" s="132">
        <v>2.1</v>
      </c>
      <c r="L19" s="127">
        <v>4.1</v>
      </c>
      <c r="M19" s="127">
        <v>7.4</v>
      </c>
      <c r="N19" s="127">
        <v>7</v>
      </c>
      <c r="O19" s="127">
        <v>5.8</v>
      </c>
      <c r="P19" s="127">
        <v>10.7</v>
      </c>
      <c r="Q19" s="127">
        <v>9.3</v>
      </c>
      <c r="R19" s="127">
        <v>8.6</v>
      </c>
      <c r="S19" s="127">
        <v>9.5</v>
      </c>
      <c r="T19" s="127"/>
      <c r="U19" s="169">
        <f t="shared" si="6"/>
        <v>93.6</v>
      </c>
      <c r="V19" s="127">
        <f t="shared" si="7"/>
        <v>14.1</v>
      </c>
      <c r="W19" s="127">
        <f t="shared" si="8"/>
        <v>30.3</v>
      </c>
      <c r="X19" s="127">
        <f t="shared" si="9"/>
        <v>27.3</v>
      </c>
      <c r="Y19" s="127">
        <f t="shared" si="10"/>
        <v>21.9</v>
      </c>
      <c r="Z19" s="127">
        <v>3.3</v>
      </c>
      <c r="AA19" s="127">
        <v>3.8</v>
      </c>
      <c r="AB19" s="127">
        <v>7</v>
      </c>
      <c r="AC19" s="127">
        <v>5.5</v>
      </c>
      <c r="AD19" s="127">
        <v>12.8</v>
      </c>
      <c r="AE19" s="127">
        <v>12</v>
      </c>
      <c r="AF19" s="127">
        <v>8.6</v>
      </c>
      <c r="AG19" s="127">
        <v>7.9</v>
      </c>
      <c r="AH19" s="127">
        <v>10.8</v>
      </c>
      <c r="AI19" s="127">
        <v>7.4</v>
      </c>
      <c r="AJ19" s="127">
        <v>9.7</v>
      </c>
      <c r="AK19" s="127">
        <v>4.8</v>
      </c>
      <c r="AL19" s="127"/>
      <c r="AM19" s="169">
        <f t="shared" si="11"/>
        <v>116.8</v>
      </c>
      <c r="AN19" s="127">
        <f t="shared" si="12"/>
        <v>25.6</v>
      </c>
      <c r="AO19" s="127">
        <f t="shared" si="13"/>
        <v>25.8</v>
      </c>
      <c r="AP19" s="127">
        <f t="shared" si="14"/>
        <v>32</v>
      </c>
      <c r="AQ19" s="127">
        <f t="shared" si="15"/>
        <v>33.4</v>
      </c>
      <c r="AR19" s="127">
        <v>5.5</v>
      </c>
      <c r="AS19" s="127">
        <v>8.6</v>
      </c>
      <c r="AT19" s="127">
        <v>11.5</v>
      </c>
      <c r="AU19" s="127">
        <v>7.3</v>
      </c>
      <c r="AV19" s="127">
        <v>8.1</v>
      </c>
      <c r="AW19" s="127">
        <v>10.4</v>
      </c>
      <c r="AX19" s="127">
        <v>11.5</v>
      </c>
      <c r="AY19" s="127">
        <v>9.6</v>
      </c>
      <c r="AZ19" s="127">
        <v>10.9</v>
      </c>
      <c r="BA19" s="127">
        <v>8.9</v>
      </c>
      <c r="BB19" s="127">
        <v>11.7</v>
      </c>
      <c r="BC19" s="127">
        <v>12.8</v>
      </c>
      <c r="BD19" s="127"/>
      <c r="BE19" s="169">
        <f t="shared" si="16"/>
        <v>110.8</v>
      </c>
      <c r="BF19" s="127">
        <f t="shared" si="17"/>
        <v>28.4</v>
      </c>
      <c r="BG19" s="127">
        <f t="shared" si="18"/>
        <v>32.8</v>
      </c>
      <c r="BH19" s="127">
        <f t="shared" si="19"/>
        <v>24.2</v>
      </c>
      <c r="BI19" s="127">
        <f t="shared" si="20"/>
        <v>25.4</v>
      </c>
      <c r="BJ19" s="127">
        <v>10</v>
      </c>
      <c r="BK19" s="127">
        <v>9.5</v>
      </c>
      <c r="BL19" s="127">
        <v>8.9</v>
      </c>
      <c r="BM19" s="127">
        <v>10.5</v>
      </c>
      <c r="BN19" s="127">
        <v>12.3</v>
      </c>
      <c r="BO19" s="127">
        <v>10</v>
      </c>
      <c r="BP19" s="127">
        <f>11.9-3</f>
        <v>8.9</v>
      </c>
      <c r="BQ19" s="127">
        <v>9</v>
      </c>
      <c r="BR19" s="127">
        <f>21.3-15</f>
        <v>6.3</v>
      </c>
      <c r="BS19" s="127">
        <v>7.3</v>
      </c>
      <c r="BT19" s="127">
        <v>8.1</v>
      </c>
      <c r="BU19" s="127">
        <v>10</v>
      </c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33"/>
      <c r="CP19" s="134"/>
      <c r="CQ19" s="134"/>
      <c r="CR19" s="134"/>
      <c r="CS19" s="134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7"/>
      <c r="DE19" s="127"/>
      <c r="DF19" s="127"/>
      <c r="DG19" s="128"/>
      <c r="DH19" s="127"/>
      <c r="DI19" s="127"/>
      <c r="DJ19" s="127"/>
      <c r="DK19" s="127"/>
      <c r="DL19" s="127"/>
      <c r="DM19" s="127"/>
      <c r="DN19" s="127"/>
      <c r="DO19" s="130"/>
      <c r="DP19" s="130"/>
      <c r="DQ19" s="130"/>
      <c r="DR19" s="130"/>
      <c r="DS19" s="127"/>
      <c r="DT19" s="127"/>
      <c r="DU19" s="127"/>
      <c r="DV19" s="127"/>
      <c r="DW19" s="127"/>
      <c r="DX19" s="127"/>
      <c r="DY19" s="127"/>
      <c r="DZ19" s="127"/>
      <c r="EA19" s="127"/>
      <c r="EB19" s="127"/>
      <c r="EC19" s="127"/>
      <c r="ED19" s="127"/>
      <c r="EE19" s="127"/>
      <c r="EF19" s="127"/>
      <c r="EG19" s="127"/>
      <c r="EH19" s="127"/>
      <c r="EI19" s="127"/>
      <c r="EJ19" s="127"/>
      <c r="EK19" s="127"/>
      <c r="EL19" s="127"/>
      <c r="EM19" s="127"/>
      <c r="EN19" s="127"/>
      <c r="EO19" s="136"/>
      <c r="EP19" s="136"/>
      <c r="EQ19" s="123"/>
      <c r="ER19" s="123"/>
      <c r="ES19" s="123"/>
      <c r="ET19" s="123"/>
      <c r="EU19" s="127"/>
      <c r="EV19" s="127"/>
      <c r="EW19" s="127"/>
      <c r="EX19" s="127"/>
      <c r="EY19" s="127"/>
      <c r="EZ19" s="134"/>
      <c r="FA19" s="127"/>
      <c r="FB19" s="134"/>
      <c r="FC19" s="134"/>
      <c r="FD19" s="134"/>
      <c r="FE19" s="134"/>
      <c r="FF19" s="134"/>
      <c r="FG19" s="128"/>
      <c r="FH19" s="134"/>
      <c r="FI19" s="134"/>
      <c r="FJ19" s="134"/>
      <c r="FK19" s="134"/>
      <c r="FL19" s="127"/>
      <c r="FM19" s="127"/>
      <c r="FN19" s="137"/>
      <c r="FO19" s="134"/>
      <c r="FP19" s="134"/>
      <c r="FQ19" s="134"/>
      <c r="FR19" s="134"/>
      <c r="FS19" s="127"/>
      <c r="FT19" s="127"/>
      <c r="FU19" s="134"/>
      <c r="FV19" s="134"/>
      <c r="FW19" s="127"/>
      <c r="FX19" s="124"/>
      <c r="FY19" s="134"/>
      <c r="FZ19" s="134"/>
      <c r="GA19" s="134"/>
      <c r="GB19" s="134"/>
      <c r="GC19" s="127"/>
      <c r="GD19" s="127"/>
      <c r="GE19" s="127"/>
      <c r="GF19" s="127"/>
      <c r="GG19" s="127"/>
      <c r="GH19" s="127"/>
      <c r="GI19" s="127"/>
      <c r="GJ19" s="127"/>
      <c r="GK19" s="127"/>
      <c r="GL19" s="127"/>
      <c r="GM19" s="127"/>
      <c r="GN19" s="127"/>
      <c r="GO19" s="124"/>
    </row>
    <row r="20" spans="1:197" ht="24">
      <c r="A20" s="108" t="s">
        <v>53</v>
      </c>
      <c r="B20" s="154" t="s">
        <v>67</v>
      </c>
      <c r="C20" s="169">
        <f t="shared" si="1"/>
        <v>44.9</v>
      </c>
      <c r="D20" s="127">
        <f t="shared" si="2"/>
        <v>9.8</v>
      </c>
      <c r="E20" s="127">
        <f t="shared" si="3"/>
        <v>10.2</v>
      </c>
      <c r="F20" s="127">
        <f t="shared" si="4"/>
        <v>12</v>
      </c>
      <c r="G20" s="127">
        <f t="shared" si="5"/>
        <v>12.9</v>
      </c>
      <c r="H20" s="127">
        <f>3.6-0.2</f>
        <v>3.4</v>
      </c>
      <c r="I20" s="127">
        <v>3</v>
      </c>
      <c r="J20" s="127">
        <f>3.6-0.2</f>
        <v>3.4</v>
      </c>
      <c r="K20" s="132">
        <f>3-0.2</f>
        <v>2.8</v>
      </c>
      <c r="L20" s="127">
        <f>3-0.2</f>
        <v>2.8</v>
      </c>
      <c r="M20" s="127">
        <f>4.8-0.2</f>
        <v>4.6</v>
      </c>
      <c r="N20" s="127">
        <f>4.2-0.2</f>
        <v>4</v>
      </c>
      <c r="O20" s="127">
        <v>4</v>
      </c>
      <c r="P20" s="127">
        <v>4</v>
      </c>
      <c r="Q20" s="127">
        <v>5.2</v>
      </c>
      <c r="R20" s="127">
        <v>4.3</v>
      </c>
      <c r="S20" s="127">
        <v>3.4</v>
      </c>
      <c r="T20" s="127"/>
      <c r="U20" s="169">
        <f t="shared" si="6"/>
        <v>59.4</v>
      </c>
      <c r="V20" s="127">
        <f t="shared" si="7"/>
        <v>7</v>
      </c>
      <c r="W20" s="127">
        <f t="shared" si="8"/>
        <v>15.3</v>
      </c>
      <c r="X20" s="127">
        <f t="shared" si="9"/>
        <v>19.5</v>
      </c>
      <c r="Y20" s="127">
        <f t="shared" si="10"/>
        <v>17.6</v>
      </c>
      <c r="Z20" s="127">
        <v>2</v>
      </c>
      <c r="AA20" s="127">
        <v>2.3</v>
      </c>
      <c r="AB20" s="127">
        <v>2.7</v>
      </c>
      <c r="AC20" s="127">
        <v>5.4</v>
      </c>
      <c r="AD20" s="127">
        <v>4.5</v>
      </c>
      <c r="AE20" s="127">
        <v>5.4</v>
      </c>
      <c r="AF20" s="127">
        <v>10.4</v>
      </c>
      <c r="AG20" s="127">
        <v>5</v>
      </c>
      <c r="AH20" s="127">
        <v>4.1</v>
      </c>
      <c r="AI20" s="127">
        <v>5.4</v>
      </c>
      <c r="AJ20" s="127">
        <v>3.6</v>
      </c>
      <c r="AK20" s="127">
        <v>8.6</v>
      </c>
      <c r="AL20" s="127"/>
      <c r="AM20" s="169">
        <f t="shared" si="11"/>
        <v>73</v>
      </c>
      <c r="AN20" s="127">
        <f t="shared" si="12"/>
        <v>18.1</v>
      </c>
      <c r="AO20" s="127">
        <f t="shared" si="13"/>
        <v>12.9</v>
      </c>
      <c r="AP20" s="127">
        <f t="shared" si="14"/>
        <v>14</v>
      </c>
      <c r="AQ20" s="127">
        <f t="shared" si="15"/>
        <v>28</v>
      </c>
      <c r="AR20" s="127">
        <v>11.4</v>
      </c>
      <c r="AS20" s="127">
        <v>3.9</v>
      </c>
      <c r="AT20" s="127">
        <v>2.8</v>
      </c>
      <c r="AU20" s="127">
        <v>3.4</v>
      </c>
      <c r="AV20" s="127">
        <v>5</v>
      </c>
      <c r="AW20" s="127">
        <v>4.5</v>
      </c>
      <c r="AX20" s="127">
        <v>5</v>
      </c>
      <c r="AY20" s="127">
        <v>4.5</v>
      </c>
      <c r="AZ20" s="127">
        <v>4.5</v>
      </c>
      <c r="BA20" s="127">
        <v>5.6</v>
      </c>
      <c r="BB20" s="127">
        <v>8.4</v>
      </c>
      <c r="BC20" s="127">
        <v>14</v>
      </c>
      <c r="BD20" s="127"/>
      <c r="BE20" s="169">
        <f t="shared" si="16"/>
        <v>93.2</v>
      </c>
      <c r="BF20" s="127">
        <f t="shared" si="17"/>
        <v>14.6</v>
      </c>
      <c r="BG20" s="127">
        <f t="shared" si="18"/>
        <v>23.4</v>
      </c>
      <c r="BH20" s="127">
        <f t="shared" si="19"/>
        <v>25.3</v>
      </c>
      <c r="BI20" s="127">
        <f t="shared" si="20"/>
        <v>29.9</v>
      </c>
      <c r="BJ20" s="127">
        <v>5</v>
      </c>
      <c r="BK20" s="127">
        <v>4</v>
      </c>
      <c r="BL20" s="127">
        <v>5.6</v>
      </c>
      <c r="BM20" s="127">
        <v>5.9</v>
      </c>
      <c r="BN20" s="127">
        <v>8.3</v>
      </c>
      <c r="BO20" s="127">
        <v>9.2</v>
      </c>
      <c r="BP20" s="127">
        <f>11.4-3</f>
        <v>8.4</v>
      </c>
      <c r="BQ20" s="127">
        <f>11.3-3</f>
        <v>8.3</v>
      </c>
      <c r="BR20" s="127">
        <f>11.6-3</f>
        <v>8.6</v>
      </c>
      <c r="BS20" s="127">
        <v>10.6</v>
      </c>
      <c r="BT20" s="127">
        <f>11.8-3</f>
        <v>8.8</v>
      </c>
      <c r="BU20" s="127">
        <v>10.5</v>
      </c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33"/>
      <c r="CP20" s="134"/>
      <c r="CQ20" s="134"/>
      <c r="CR20" s="134"/>
      <c r="CS20" s="134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  <c r="DD20" s="127"/>
      <c r="DE20" s="127"/>
      <c r="DF20" s="127"/>
      <c r="DG20" s="128"/>
      <c r="DH20" s="127"/>
      <c r="DI20" s="127"/>
      <c r="DJ20" s="127"/>
      <c r="DK20" s="127"/>
      <c r="DL20" s="127"/>
      <c r="DM20" s="127"/>
      <c r="DN20" s="127"/>
      <c r="DO20" s="127"/>
      <c r="DP20" s="127"/>
      <c r="DQ20" s="127"/>
      <c r="DR20" s="127"/>
      <c r="DS20" s="127"/>
      <c r="DT20" s="127"/>
      <c r="DU20" s="127"/>
      <c r="DV20" s="127"/>
      <c r="DW20" s="127"/>
      <c r="DX20" s="127"/>
      <c r="DY20" s="127"/>
      <c r="DZ20" s="127"/>
      <c r="EA20" s="127"/>
      <c r="EB20" s="127"/>
      <c r="EC20" s="127"/>
      <c r="ED20" s="127"/>
      <c r="EE20" s="127"/>
      <c r="EF20" s="127"/>
      <c r="EG20" s="127"/>
      <c r="EH20" s="127"/>
      <c r="EI20" s="127"/>
      <c r="EJ20" s="127"/>
      <c r="EK20" s="127"/>
      <c r="EL20" s="127"/>
      <c r="EM20" s="127"/>
      <c r="EN20" s="127"/>
      <c r="EO20" s="136"/>
      <c r="EP20" s="136"/>
      <c r="EQ20" s="123"/>
      <c r="ER20" s="123"/>
      <c r="ES20" s="123"/>
      <c r="ET20" s="123"/>
      <c r="EU20" s="127"/>
      <c r="EV20" s="127"/>
      <c r="EW20" s="127"/>
      <c r="EX20" s="127"/>
      <c r="EY20" s="127"/>
      <c r="EZ20" s="134"/>
      <c r="FA20" s="127"/>
      <c r="FB20" s="134"/>
      <c r="FC20" s="134"/>
      <c r="FD20" s="134"/>
      <c r="FE20" s="134"/>
      <c r="FF20" s="134"/>
      <c r="FG20" s="128"/>
      <c r="FH20" s="134"/>
      <c r="FI20" s="134"/>
      <c r="FJ20" s="134"/>
      <c r="FK20" s="134"/>
      <c r="FL20" s="127"/>
      <c r="FM20" s="127"/>
      <c r="FN20" s="137"/>
      <c r="FO20" s="134"/>
      <c r="FP20" s="134"/>
      <c r="FQ20" s="134"/>
      <c r="FR20" s="134"/>
      <c r="FS20" s="127"/>
      <c r="FT20" s="127"/>
      <c r="FU20" s="134"/>
      <c r="FV20" s="134"/>
      <c r="FW20" s="127"/>
      <c r="FX20" s="124"/>
      <c r="FY20" s="134"/>
      <c r="FZ20" s="134"/>
      <c r="GA20" s="134"/>
      <c r="GB20" s="134"/>
      <c r="GC20" s="127"/>
      <c r="GD20" s="127"/>
      <c r="GE20" s="127"/>
      <c r="GF20" s="127"/>
      <c r="GG20" s="127"/>
      <c r="GH20" s="127"/>
      <c r="GI20" s="127"/>
      <c r="GJ20" s="127"/>
      <c r="GK20" s="127"/>
      <c r="GL20" s="127"/>
      <c r="GM20" s="127"/>
      <c r="GN20" s="127"/>
      <c r="GO20" s="124"/>
    </row>
    <row r="21" spans="1:197" ht="24">
      <c r="A21" s="108" t="s">
        <v>54</v>
      </c>
      <c r="B21" s="154" t="s">
        <v>68</v>
      </c>
      <c r="C21" s="169">
        <f t="shared" si="1"/>
        <v>232.1</v>
      </c>
      <c r="D21" s="127">
        <f t="shared" si="2"/>
        <v>58.1</v>
      </c>
      <c r="E21" s="127">
        <f t="shared" si="3"/>
        <v>55.4</v>
      </c>
      <c r="F21" s="127">
        <f t="shared" si="4"/>
        <v>57</v>
      </c>
      <c r="G21" s="127">
        <f t="shared" si="5"/>
        <v>61.6</v>
      </c>
      <c r="H21" s="127">
        <f>23.2-0.9-0.3</f>
        <v>22</v>
      </c>
      <c r="I21" s="127">
        <f>18.8-0.9</f>
        <v>17.9</v>
      </c>
      <c r="J21" s="127">
        <f>19.1-0.9</f>
        <v>18.2</v>
      </c>
      <c r="K21" s="132">
        <f>18.8-0.9</f>
        <v>17.9</v>
      </c>
      <c r="L21" s="127">
        <f>19.1-0.9</f>
        <v>18.2</v>
      </c>
      <c r="M21" s="127">
        <f>20.2-0.9</f>
        <v>19.3</v>
      </c>
      <c r="N21" s="127">
        <f>19.6-0.9</f>
        <v>18.7</v>
      </c>
      <c r="O21" s="127">
        <f>20.5-0.9</f>
        <v>19.6</v>
      </c>
      <c r="P21" s="127">
        <f>19.6-0.9</f>
        <v>18.7</v>
      </c>
      <c r="Q21" s="127">
        <f>20.8-0.9</f>
        <v>19.9</v>
      </c>
      <c r="R21" s="127">
        <f>20.5-0.9</f>
        <v>19.6</v>
      </c>
      <c r="S21" s="127">
        <f>23-0.9</f>
        <v>22.1</v>
      </c>
      <c r="T21" s="127"/>
      <c r="U21" s="169">
        <f t="shared" si="6"/>
        <v>248.8</v>
      </c>
      <c r="V21" s="127">
        <f t="shared" si="7"/>
        <v>58.9</v>
      </c>
      <c r="W21" s="127">
        <f t="shared" si="8"/>
        <v>52.1</v>
      </c>
      <c r="X21" s="127">
        <f t="shared" si="9"/>
        <v>61.5</v>
      </c>
      <c r="Y21" s="127">
        <f t="shared" si="10"/>
        <v>76.3</v>
      </c>
      <c r="Z21" s="127">
        <v>17.3</v>
      </c>
      <c r="AA21" s="127">
        <v>21.4</v>
      </c>
      <c r="AB21" s="127">
        <v>20.2</v>
      </c>
      <c r="AC21" s="127">
        <v>17.6</v>
      </c>
      <c r="AD21" s="127">
        <v>17.6</v>
      </c>
      <c r="AE21" s="127">
        <v>16.9</v>
      </c>
      <c r="AF21" s="127">
        <v>17.4</v>
      </c>
      <c r="AG21" s="127">
        <v>22.6</v>
      </c>
      <c r="AH21" s="127">
        <f>25.2-3.7</f>
        <v>21.5</v>
      </c>
      <c r="AI21" s="127">
        <f>34.8-3.7</f>
        <v>31.1</v>
      </c>
      <c r="AJ21" s="127">
        <v>25</v>
      </c>
      <c r="AK21" s="127">
        <v>20.2</v>
      </c>
      <c r="AL21" s="127"/>
      <c r="AM21" s="169">
        <f t="shared" si="11"/>
        <v>288.5</v>
      </c>
      <c r="AN21" s="127">
        <f t="shared" si="12"/>
        <v>57.2</v>
      </c>
      <c r="AO21" s="127">
        <f t="shared" si="13"/>
        <v>55.3</v>
      </c>
      <c r="AP21" s="127">
        <f t="shared" si="14"/>
        <v>71</v>
      </c>
      <c r="AQ21" s="127">
        <f t="shared" si="15"/>
        <v>105</v>
      </c>
      <c r="AR21" s="127">
        <v>18.6</v>
      </c>
      <c r="AS21" s="127">
        <v>19.5</v>
      </c>
      <c r="AT21" s="127">
        <v>19.1</v>
      </c>
      <c r="AU21" s="127">
        <v>18.2</v>
      </c>
      <c r="AV21" s="127">
        <v>17.6</v>
      </c>
      <c r="AW21" s="127">
        <v>19.5</v>
      </c>
      <c r="AX21" s="127">
        <v>17.4</v>
      </c>
      <c r="AY21" s="127">
        <v>26.9</v>
      </c>
      <c r="AZ21" s="127">
        <v>26.7</v>
      </c>
      <c r="BA21" s="127">
        <v>29.5</v>
      </c>
      <c r="BB21" s="127">
        <v>34.9</v>
      </c>
      <c r="BC21" s="127">
        <v>40.6</v>
      </c>
      <c r="BD21" s="127"/>
      <c r="BE21" s="169">
        <f t="shared" si="16"/>
        <v>546</v>
      </c>
      <c r="BF21" s="127">
        <f t="shared" si="17"/>
        <v>85.5</v>
      </c>
      <c r="BG21" s="127">
        <f t="shared" si="18"/>
        <v>93.2</v>
      </c>
      <c r="BH21" s="127">
        <f t="shared" si="19"/>
        <v>157.9</v>
      </c>
      <c r="BI21" s="127">
        <f t="shared" si="20"/>
        <v>209.4</v>
      </c>
      <c r="BJ21" s="127">
        <v>20.2</v>
      </c>
      <c r="BK21" s="127">
        <v>29.7</v>
      </c>
      <c r="BL21" s="127">
        <v>35.6</v>
      </c>
      <c r="BM21" s="127">
        <v>32.2</v>
      </c>
      <c r="BN21" s="127">
        <v>35</v>
      </c>
      <c r="BO21" s="127">
        <v>26</v>
      </c>
      <c r="BP21" s="127">
        <v>46.7</v>
      </c>
      <c r="BQ21" s="127">
        <v>55.9</v>
      </c>
      <c r="BR21" s="127">
        <v>55.3</v>
      </c>
      <c r="BS21" s="127">
        <v>74</v>
      </c>
      <c r="BT21" s="127">
        <v>67.2</v>
      </c>
      <c r="BU21" s="127">
        <v>68.2</v>
      </c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33"/>
      <c r="CP21" s="134"/>
      <c r="CQ21" s="134"/>
      <c r="CR21" s="134"/>
      <c r="CS21" s="134"/>
      <c r="CT21" s="130"/>
      <c r="CU21" s="130"/>
      <c r="CV21" s="130"/>
      <c r="CW21" s="130"/>
      <c r="CX21" s="127"/>
      <c r="CY21" s="127"/>
      <c r="CZ21" s="127"/>
      <c r="DA21" s="130"/>
      <c r="DB21" s="130"/>
      <c r="DC21" s="130"/>
      <c r="DD21" s="130"/>
      <c r="DE21" s="127"/>
      <c r="DF21" s="127"/>
      <c r="DG21" s="128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36"/>
      <c r="EP21" s="136"/>
      <c r="EQ21" s="123"/>
      <c r="ER21" s="123"/>
      <c r="ES21" s="123"/>
      <c r="ET21" s="123"/>
      <c r="EU21" s="127"/>
      <c r="EV21" s="127"/>
      <c r="EW21" s="127"/>
      <c r="EX21" s="127"/>
      <c r="EY21" s="127"/>
      <c r="EZ21" s="134"/>
      <c r="FA21" s="127"/>
      <c r="FB21" s="134"/>
      <c r="FC21" s="134"/>
      <c r="FD21" s="134"/>
      <c r="FE21" s="134"/>
      <c r="FF21" s="134"/>
      <c r="FG21" s="128"/>
      <c r="FH21" s="134"/>
      <c r="FI21" s="134"/>
      <c r="FJ21" s="134"/>
      <c r="FK21" s="134"/>
      <c r="FL21" s="127"/>
      <c r="FM21" s="127"/>
      <c r="FN21" s="137"/>
      <c r="FO21" s="134"/>
      <c r="FP21" s="134"/>
      <c r="FQ21" s="134"/>
      <c r="FR21" s="134"/>
      <c r="FS21" s="127"/>
      <c r="FT21" s="127"/>
      <c r="FU21" s="134"/>
      <c r="FV21" s="134"/>
      <c r="FW21" s="127"/>
      <c r="FX21" s="124"/>
      <c r="FY21" s="134"/>
      <c r="FZ21" s="134"/>
      <c r="GA21" s="134"/>
      <c r="GB21" s="134"/>
      <c r="GC21" s="127"/>
      <c r="GD21" s="127"/>
      <c r="GE21" s="127"/>
      <c r="GF21" s="127"/>
      <c r="GG21" s="127"/>
      <c r="GH21" s="127"/>
      <c r="GI21" s="127"/>
      <c r="GJ21" s="127"/>
      <c r="GK21" s="127"/>
      <c r="GL21" s="127"/>
      <c r="GM21" s="127"/>
      <c r="GN21" s="127"/>
      <c r="GO21" s="124"/>
    </row>
    <row r="22" spans="1:197" ht="12">
      <c r="A22" s="108" t="s">
        <v>39</v>
      </c>
      <c r="B22" s="154" t="s">
        <v>69</v>
      </c>
      <c r="C22" s="169">
        <f t="shared" si="1"/>
        <v>778.1</v>
      </c>
      <c r="D22" s="127">
        <f t="shared" si="2"/>
        <v>103.8</v>
      </c>
      <c r="E22" s="127">
        <f t="shared" si="3"/>
        <v>106.9</v>
      </c>
      <c r="F22" s="127">
        <f t="shared" si="4"/>
        <v>267.9</v>
      </c>
      <c r="G22" s="127">
        <f t="shared" si="5"/>
        <v>299.5</v>
      </c>
      <c r="H22" s="127">
        <f>47.3-6.7</f>
        <v>40.6</v>
      </c>
      <c r="I22" s="127">
        <f>34.3-6.7+0.4</f>
        <v>28</v>
      </c>
      <c r="J22" s="127">
        <f>41.9-6.7</f>
        <v>35.2</v>
      </c>
      <c r="K22" s="132">
        <f>38.1-6.7</f>
        <v>31.4</v>
      </c>
      <c r="L22" s="127">
        <f>32.7-6.7</f>
        <v>26</v>
      </c>
      <c r="M22" s="127">
        <f>56.2-6.7</f>
        <v>49.5</v>
      </c>
      <c r="N22" s="127">
        <f>74.3-6.7</f>
        <v>67.6</v>
      </c>
      <c r="O22" s="127">
        <f>120.8-6.7</f>
        <v>114.1</v>
      </c>
      <c r="P22" s="127">
        <f>92.9-6.7</f>
        <v>86.2</v>
      </c>
      <c r="Q22" s="127">
        <f>90.9-6.7</f>
        <v>84.2</v>
      </c>
      <c r="R22" s="127">
        <f>94.4-6.7</f>
        <v>87.7</v>
      </c>
      <c r="S22" s="127">
        <f>134.3-6.7</f>
        <v>127.6</v>
      </c>
      <c r="T22" s="127"/>
      <c r="U22" s="169">
        <f t="shared" si="6"/>
        <v>1108.3</v>
      </c>
      <c r="V22" s="127">
        <f t="shared" si="7"/>
        <v>229.7</v>
      </c>
      <c r="W22" s="127">
        <f t="shared" si="8"/>
        <v>291.3</v>
      </c>
      <c r="X22" s="127">
        <f t="shared" si="9"/>
        <v>275.8</v>
      </c>
      <c r="Y22" s="127">
        <f t="shared" si="10"/>
        <v>311.5</v>
      </c>
      <c r="Z22" s="127">
        <f>94.9-11.7</f>
        <v>83.2</v>
      </c>
      <c r="AA22" s="127">
        <f>103.3-11.7</f>
        <v>91.6</v>
      </c>
      <c r="AB22" s="127">
        <v>54.9</v>
      </c>
      <c r="AC22" s="127">
        <f>110.1-11.7</f>
        <v>98.4</v>
      </c>
      <c r="AD22" s="127">
        <f>91.3-11.7</f>
        <v>79.6</v>
      </c>
      <c r="AE22" s="127">
        <f>125-11.7</f>
        <v>113.3</v>
      </c>
      <c r="AF22" s="127">
        <f>137.9-11.7-11.7</f>
        <v>114.5</v>
      </c>
      <c r="AG22" s="127">
        <f>81.3-11.7</f>
        <v>69.6</v>
      </c>
      <c r="AH22" s="127">
        <f>103.4-11.7</f>
        <v>91.7</v>
      </c>
      <c r="AI22" s="127">
        <v>76.3</v>
      </c>
      <c r="AJ22" s="127">
        <f>139.5-11.7-11.7</f>
        <v>116.1</v>
      </c>
      <c r="AK22" s="127">
        <f>130.8-11.7</f>
        <v>119.1</v>
      </c>
      <c r="AL22" s="127"/>
      <c r="AM22" s="169">
        <f t="shared" si="11"/>
        <v>861.2</v>
      </c>
      <c r="AN22" s="127">
        <f t="shared" si="12"/>
        <v>205</v>
      </c>
      <c r="AO22" s="127">
        <f t="shared" si="13"/>
        <v>218.3</v>
      </c>
      <c r="AP22" s="127">
        <f t="shared" si="14"/>
        <v>199</v>
      </c>
      <c r="AQ22" s="127">
        <f t="shared" si="15"/>
        <v>238.9</v>
      </c>
      <c r="AR22" s="127">
        <f>74.5-26</f>
        <v>48.5</v>
      </c>
      <c r="AS22" s="127">
        <f>94.1-27</f>
        <v>67.1</v>
      </c>
      <c r="AT22" s="127">
        <f>116.4-27</f>
        <v>89.4</v>
      </c>
      <c r="AU22" s="127">
        <v>90.5</v>
      </c>
      <c r="AV22" s="127">
        <f>97.8-26</f>
        <v>71.8</v>
      </c>
      <c r="AW22" s="127">
        <f>82.9-26.9</f>
        <v>56</v>
      </c>
      <c r="AX22" s="127">
        <f>85.8-26.9</f>
        <v>58.9</v>
      </c>
      <c r="AY22" s="127">
        <f>111.5-35</f>
        <v>76.5</v>
      </c>
      <c r="AZ22" s="127">
        <v>63.6</v>
      </c>
      <c r="BA22" s="127">
        <v>67.1</v>
      </c>
      <c r="BB22" s="127">
        <f>125.4-35</f>
        <v>90.4</v>
      </c>
      <c r="BC22" s="127">
        <f>116.4-35</f>
        <v>81.4</v>
      </c>
      <c r="BD22" s="127"/>
      <c r="BE22" s="169">
        <f t="shared" si="16"/>
        <v>610</v>
      </c>
      <c r="BF22" s="127">
        <f t="shared" si="17"/>
        <v>105</v>
      </c>
      <c r="BG22" s="127">
        <f t="shared" si="18"/>
        <v>128.2</v>
      </c>
      <c r="BH22" s="127">
        <f t="shared" si="19"/>
        <v>193.2</v>
      </c>
      <c r="BI22" s="127">
        <f t="shared" si="20"/>
        <v>183.6</v>
      </c>
      <c r="BJ22" s="127">
        <f>61.8-18.8</f>
        <v>43</v>
      </c>
      <c r="BK22" s="127">
        <v>25.6</v>
      </c>
      <c r="BL22" s="127">
        <f>55.2-18.8</f>
        <v>36.4</v>
      </c>
      <c r="BM22" s="127">
        <f>62.9-18.8</f>
        <v>44.1</v>
      </c>
      <c r="BN22" s="127">
        <f>47.2-18.8</f>
        <v>28.4</v>
      </c>
      <c r="BO22" s="127">
        <f>74.5-18.8</f>
        <v>55.7</v>
      </c>
      <c r="BP22" s="127">
        <f>84-18.8</f>
        <v>65.2</v>
      </c>
      <c r="BQ22" s="127">
        <f>88-18.8</f>
        <v>69.2</v>
      </c>
      <c r="BR22" s="127">
        <f>77.6-18.8</f>
        <v>58.8</v>
      </c>
      <c r="BS22" s="127">
        <f>78.9-18.8</f>
        <v>60.1</v>
      </c>
      <c r="BT22" s="127">
        <f>79.9-18.8</f>
        <v>61.1</v>
      </c>
      <c r="BU22" s="127">
        <f>81.2-18.8</f>
        <v>62.4</v>
      </c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33"/>
      <c r="CP22" s="134"/>
      <c r="CQ22" s="134"/>
      <c r="CR22" s="134"/>
      <c r="CS22" s="134"/>
      <c r="CT22" s="130"/>
      <c r="CU22" s="130"/>
      <c r="CV22" s="130"/>
      <c r="CW22" s="130"/>
      <c r="CX22" s="127"/>
      <c r="CY22" s="127"/>
      <c r="CZ22" s="130"/>
      <c r="DA22" s="130"/>
      <c r="DB22" s="130"/>
      <c r="DC22" s="130"/>
      <c r="DD22" s="130"/>
      <c r="DE22" s="127"/>
      <c r="DF22" s="127"/>
      <c r="DG22" s="128"/>
      <c r="DH22" s="127"/>
      <c r="DI22" s="127"/>
      <c r="DJ22" s="127"/>
      <c r="DK22" s="127"/>
      <c r="DL22" s="127"/>
      <c r="DM22" s="127"/>
      <c r="DN22" s="127"/>
      <c r="DO22" s="127"/>
      <c r="DP22" s="127"/>
      <c r="DQ22" s="127"/>
      <c r="DR22" s="127"/>
      <c r="DS22" s="127"/>
      <c r="DT22" s="127"/>
      <c r="DU22" s="127"/>
      <c r="DV22" s="127"/>
      <c r="DW22" s="127"/>
      <c r="DX22" s="127"/>
      <c r="DY22" s="127"/>
      <c r="DZ22" s="127"/>
      <c r="EA22" s="127"/>
      <c r="EB22" s="127"/>
      <c r="EC22" s="127"/>
      <c r="ED22" s="127"/>
      <c r="EE22" s="127"/>
      <c r="EF22" s="127"/>
      <c r="EG22" s="127"/>
      <c r="EH22" s="127"/>
      <c r="EI22" s="127"/>
      <c r="EJ22" s="127"/>
      <c r="EK22" s="127"/>
      <c r="EL22" s="127"/>
      <c r="EM22" s="127"/>
      <c r="EN22" s="127"/>
      <c r="EO22" s="136"/>
      <c r="EP22" s="136"/>
      <c r="EQ22" s="123"/>
      <c r="ER22" s="123"/>
      <c r="ES22" s="123"/>
      <c r="ET22" s="123"/>
      <c r="EU22" s="127"/>
      <c r="EV22" s="127"/>
      <c r="EW22" s="127"/>
      <c r="EX22" s="127"/>
      <c r="EY22" s="127"/>
      <c r="EZ22" s="134"/>
      <c r="FA22" s="127"/>
      <c r="FB22" s="134"/>
      <c r="FC22" s="134"/>
      <c r="FD22" s="134"/>
      <c r="FE22" s="134"/>
      <c r="FF22" s="134"/>
      <c r="FG22" s="128"/>
      <c r="FH22" s="134"/>
      <c r="FI22" s="134"/>
      <c r="FJ22" s="134"/>
      <c r="FK22" s="134"/>
      <c r="FL22" s="127"/>
      <c r="FM22" s="127"/>
      <c r="FN22" s="137"/>
      <c r="FO22" s="134"/>
      <c r="FP22" s="134"/>
      <c r="FQ22" s="134"/>
      <c r="FR22" s="134"/>
      <c r="FS22" s="127"/>
      <c r="FT22" s="127"/>
      <c r="FU22" s="134"/>
      <c r="FV22" s="134"/>
      <c r="FW22" s="127"/>
      <c r="FX22" s="124"/>
      <c r="FY22" s="134"/>
      <c r="FZ22" s="134"/>
      <c r="GA22" s="134"/>
      <c r="GB22" s="134"/>
      <c r="GC22" s="127"/>
      <c r="GD22" s="127"/>
      <c r="GE22" s="127"/>
      <c r="GF22" s="127"/>
      <c r="GG22" s="127"/>
      <c r="GH22" s="127"/>
      <c r="GI22" s="127"/>
      <c r="GJ22" s="127"/>
      <c r="GK22" s="127"/>
      <c r="GL22" s="127"/>
      <c r="GM22" s="127"/>
      <c r="GN22" s="127"/>
      <c r="GO22" s="124"/>
    </row>
    <row r="23" spans="1:197" ht="12">
      <c r="A23" s="108" t="s">
        <v>40</v>
      </c>
      <c r="B23" s="154" t="s">
        <v>70</v>
      </c>
      <c r="C23" s="169">
        <f t="shared" si="1"/>
        <v>238</v>
      </c>
      <c r="D23" s="130">
        <f t="shared" si="2"/>
        <v>38.2</v>
      </c>
      <c r="E23" s="130">
        <f t="shared" si="3"/>
        <v>48.6</v>
      </c>
      <c r="F23" s="130">
        <f t="shared" si="4"/>
        <v>88.9</v>
      </c>
      <c r="G23" s="130">
        <f t="shared" si="5"/>
        <v>62.3</v>
      </c>
      <c r="H23" s="130">
        <f>11.8-1.9+0.5</f>
        <v>10.4</v>
      </c>
      <c r="I23" s="130">
        <f>13.4-1.9</f>
        <v>11.5</v>
      </c>
      <c r="J23" s="130">
        <f>18.2-1.9</f>
        <v>16.3</v>
      </c>
      <c r="K23" s="139">
        <f>17.3-1.9</f>
        <v>15.4</v>
      </c>
      <c r="L23" s="130">
        <f>13.3-1.9</f>
        <v>11.4</v>
      </c>
      <c r="M23" s="130">
        <f>23.7-1.9</f>
        <v>21.8</v>
      </c>
      <c r="N23" s="130">
        <f>43.4-1.9</f>
        <v>41.5</v>
      </c>
      <c r="O23" s="130">
        <f>18.2-1.9</f>
        <v>16.3</v>
      </c>
      <c r="P23" s="130">
        <f>33-1.9</f>
        <v>31.1</v>
      </c>
      <c r="Q23" s="130">
        <f>14.3-1.9</f>
        <v>12.4</v>
      </c>
      <c r="R23" s="130">
        <f>35.5-1.9</f>
        <v>33.6</v>
      </c>
      <c r="S23" s="130">
        <f>18.2-1.9</f>
        <v>16.3</v>
      </c>
      <c r="T23" s="130"/>
      <c r="U23" s="169">
        <f t="shared" si="6"/>
        <v>268.3</v>
      </c>
      <c r="V23" s="127">
        <f t="shared" si="7"/>
        <v>69.7</v>
      </c>
      <c r="W23" s="127">
        <f t="shared" si="8"/>
        <v>75.2</v>
      </c>
      <c r="X23" s="127">
        <f t="shared" si="9"/>
        <v>75.9</v>
      </c>
      <c r="Y23" s="127">
        <f t="shared" si="10"/>
        <v>47.5</v>
      </c>
      <c r="Z23" s="127">
        <v>21.4</v>
      </c>
      <c r="AA23" s="127">
        <v>20.7</v>
      </c>
      <c r="AB23" s="127">
        <v>27.6</v>
      </c>
      <c r="AC23" s="127">
        <v>33.4</v>
      </c>
      <c r="AD23" s="127">
        <v>16.7</v>
      </c>
      <c r="AE23" s="127">
        <v>25.1</v>
      </c>
      <c r="AF23" s="127">
        <v>11.6</v>
      </c>
      <c r="AG23" s="127">
        <v>22.5</v>
      </c>
      <c r="AH23" s="127">
        <v>41.8</v>
      </c>
      <c r="AI23" s="127">
        <v>17.3</v>
      </c>
      <c r="AJ23" s="127">
        <v>21.8</v>
      </c>
      <c r="AK23" s="127">
        <v>8.4</v>
      </c>
      <c r="AL23" s="127"/>
      <c r="AM23" s="181">
        <f t="shared" si="11"/>
        <v>187.7</v>
      </c>
      <c r="AN23" s="130">
        <f t="shared" si="12"/>
        <v>31.5</v>
      </c>
      <c r="AO23" s="130">
        <f t="shared" si="13"/>
        <v>24.4</v>
      </c>
      <c r="AP23" s="130">
        <f t="shared" si="14"/>
        <v>32</v>
      </c>
      <c r="AQ23" s="130">
        <f t="shared" si="15"/>
        <v>99.8</v>
      </c>
      <c r="AR23" s="130">
        <v>12.3</v>
      </c>
      <c r="AS23" s="130">
        <f>20.9-7.9</f>
        <v>13</v>
      </c>
      <c r="AT23" s="130">
        <v>6.2</v>
      </c>
      <c r="AU23" s="130">
        <f>16.5-7.7</f>
        <v>8.8</v>
      </c>
      <c r="AV23" s="130">
        <f>15.1-7.7</f>
        <v>7.4</v>
      </c>
      <c r="AW23" s="130">
        <v>8.2</v>
      </c>
      <c r="AX23" s="130">
        <f>38.1-7.7-7.7-14</f>
        <v>8.7</v>
      </c>
      <c r="AY23" s="130">
        <f>25-7.7-10</f>
        <v>7.3</v>
      </c>
      <c r="AZ23" s="130">
        <f>36-20</f>
        <v>16</v>
      </c>
      <c r="BA23" s="130">
        <v>36</v>
      </c>
      <c r="BB23" s="130">
        <v>8.2</v>
      </c>
      <c r="BC23" s="130">
        <v>55.6</v>
      </c>
      <c r="BD23" s="130"/>
      <c r="BE23" s="181">
        <f t="shared" si="16"/>
        <v>295.9</v>
      </c>
      <c r="BF23" s="130">
        <f t="shared" si="17"/>
        <v>77.7</v>
      </c>
      <c r="BG23" s="130">
        <f t="shared" si="18"/>
        <v>74.7</v>
      </c>
      <c r="BH23" s="130">
        <f t="shared" si="19"/>
        <v>67.1</v>
      </c>
      <c r="BI23" s="130">
        <f t="shared" si="20"/>
        <v>76.4</v>
      </c>
      <c r="BJ23" s="130">
        <v>31.2</v>
      </c>
      <c r="BK23" s="130">
        <v>22.4</v>
      </c>
      <c r="BL23" s="130">
        <v>24.1</v>
      </c>
      <c r="BM23" s="130">
        <v>29.8</v>
      </c>
      <c r="BN23" s="130">
        <v>20.7</v>
      </c>
      <c r="BO23" s="130">
        <v>24.2</v>
      </c>
      <c r="BP23" s="130">
        <v>24.6</v>
      </c>
      <c r="BQ23" s="130">
        <v>21.1</v>
      </c>
      <c r="BR23" s="130">
        <v>21.4</v>
      </c>
      <c r="BS23" s="130">
        <v>24</v>
      </c>
      <c r="BT23" s="130">
        <v>27</v>
      </c>
      <c r="BU23" s="130">
        <v>25.4</v>
      </c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27"/>
      <c r="CO23" s="133"/>
      <c r="CP23" s="134"/>
      <c r="CQ23" s="134"/>
      <c r="CR23" s="134"/>
      <c r="CS23" s="134"/>
      <c r="CT23" s="127"/>
      <c r="CU23" s="127"/>
      <c r="CV23" s="127"/>
      <c r="CW23" s="127"/>
      <c r="CX23" s="127"/>
      <c r="CY23" s="127"/>
      <c r="CZ23" s="127"/>
      <c r="DA23" s="127"/>
      <c r="DB23" s="127"/>
      <c r="DC23" s="127"/>
      <c r="DD23" s="127"/>
      <c r="DE23" s="127"/>
      <c r="DF23" s="127"/>
      <c r="DG23" s="128"/>
      <c r="DH23" s="127"/>
      <c r="DI23" s="127"/>
      <c r="DJ23" s="127"/>
      <c r="DK23" s="127"/>
      <c r="DL23" s="127"/>
      <c r="DM23" s="127"/>
      <c r="DN23" s="127"/>
      <c r="DO23" s="130"/>
      <c r="DP23" s="130"/>
      <c r="DQ23" s="130"/>
      <c r="DR23" s="130"/>
      <c r="DS23" s="127"/>
      <c r="DT23" s="127"/>
      <c r="DU23" s="127"/>
      <c r="DV23" s="127"/>
      <c r="DW23" s="127"/>
      <c r="DX23" s="127"/>
      <c r="DY23" s="127"/>
      <c r="DZ23" s="127"/>
      <c r="EA23" s="127"/>
      <c r="EB23" s="127"/>
      <c r="EC23" s="127"/>
      <c r="ED23" s="127"/>
      <c r="EE23" s="127"/>
      <c r="EF23" s="127"/>
      <c r="EG23" s="127"/>
      <c r="EH23" s="127"/>
      <c r="EI23" s="127"/>
      <c r="EJ23" s="127"/>
      <c r="EK23" s="127"/>
      <c r="EL23" s="127"/>
      <c r="EM23" s="127"/>
      <c r="EN23" s="127"/>
      <c r="EO23" s="136"/>
      <c r="EP23" s="136"/>
      <c r="EQ23" s="123"/>
      <c r="ER23" s="123"/>
      <c r="ES23" s="123"/>
      <c r="ET23" s="123"/>
      <c r="EU23" s="127"/>
      <c r="EV23" s="127"/>
      <c r="EW23" s="127"/>
      <c r="EX23" s="127"/>
      <c r="EY23" s="127"/>
      <c r="EZ23" s="134"/>
      <c r="FA23" s="127"/>
      <c r="FB23" s="134"/>
      <c r="FC23" s="134"/>
      <c r="FD23" s="134"/>
      <c r="FE23" s="134"/>
      <c r="FF23" s="134"/>
      <c r="FG23" s="128"/>
      <c r="FH23" s="134"/>
      <c r="FI23" s="134"/>
      <c r="FJ23" s="134"/>
      <c r="FK23" s="134"/>
      <c r="FL23" s="127"/>
      <c r="FM23" s="127"/>
      <c r="FN23" s="137"/>
      <c r="FO23" s="134"/>
      <c r="FP23" s="134"/>
      <c r="FQ23" s="134"/>
      <c r="FR23" s="134"/>
      <c r="FS23" s="127"/>
      <c r="FT23" s="127"/>
      <c r="FU23" s="134"/>
      <c r="FV23" s="134"/>
      <c r="FW23" s="127"/>
      <c r="FX23" s="124"/>
      <c r="FY23" s="134"/>
      <c r="FZ23" s="134"/>
      <c r="GA23" s="134"/>
      <c r="GB23" s="134"/>
      <c r="GC23" s="127"/>
      <c r="GD23" s="127"/>
      <c r="GE23" s="127"/>
      <c r="GF23" s="127"/>
      <c r="GG23" s="127"/>
      <c r="GH23" s="127"/>
      <c r="GI23" s="127"/>
      <c r="GJ23" s="127"/>
      <c r="GK23" s="127"/>
      <c r="GL23" s="127"/>
      <c r="GM23" s="127"/>
      <c r="GN23" s="127"/>
      <c r="GO23" s="124"/>
    </row>
    <row r="24" spans="1:197" ht="12.75" customHeight="1">
      <c r="A24" s="108" t="s">
        <v>55</v>
      </c>
      <c r="B24" s="154" t="s">
        <v>71</v>
      </c>
      <c r="C24" s="169">
        <f t="shared" si="1"/>
        <v>263.4</v>
      </c>
      <c r="D24" s="127">
        <f t="shared" si="2"/>
        <v>12.9</v>
      </c>
      <c r="E24" s="127">
        <f t="shared" si="3"/>
        <v>133.4</v>
      </c>
      <c r="F24" s="127">
        <f t="shared" si="4"/>
        <v>24.7</v>
      </c>
      <c r="G24" s="127">
        <f t="shared" si="5"/>
        <v>92.4</v>
      </c>
      <c r="H24" s="127">
        <v>4.1</v>
      </c>
      <c r="I24" s="127">
        <v>4.1</v>
      </c>
      <c r="J24" s="127">
        <v>4.7</v>
      </c>
      <c r="K24" s="132">
        <v>64.7</v>
      </c>
      <c r="L24" s="127">
        <v>31.7</v>
      </c>
      <c r="M24" s="127">
        <v>37</v>
      </c>
      <c r="N24" s="127">
        <v>2.9</v>
      </c>
      <c r="O24" s="127">
        <v>4.7</v>
      </c>
      <c r="P24" s="127">
        <v>17.1</v>
      </c>
      <c r="Q24" s="127">
        <v>22.3</v>
      </c>
      <c r="R24" s="127">
        <v>22.9</v>
      </c>
      <c r="S24" s="127">
        <v>47.2</v>
      </c>
      <c r="T24" s="127"/>
      <c r="U24" s="169">
        <f t="shared" si="6"/>
        <v>335.2</v>
      </c>
      <c r="V24" s="127">
        <f t="shared" si="7"/>
        <v>7.4</v>
      </c>
      <c r="W24" s="127">
        <f t="shared" si="8"/>
        <v>77.4</v>
      </c>
      <c r="X24" s="127">
        <f t="shared" si="9"/>
        <v>169.1</v>
      </c>
      <c r="Y24" s="127">
        <f t="shared" si="10"/>
        <v>81.3</v>
      </c>
      <c r="Z24" s="127">
        <v>5.2</v>
      </c>
      <c r="AA24" s="127">
        <v>1.3</v>
      </c>
      <c r="AB24" s="127">
        <v>0.9</v>
      </c>
      <c r="AC24" s="127">
        <v>1.1</v>
      </c>
      <c r="AD24" s="127">
        <v>21.9</v>
      </c>
      <c r="AE24" s="127">
        <v>54.4</v>
      </c>
      <c r="AF24" s="127">
        <v>57.6</v>
      </c>
      <c r="AG24" s="127">
        <v>60.2</v>
      </c>
      <c r="AH24" s="127">
        <v>51.3</v>
      </c>
      <c r="AI24" s="127">
        <v>34.4</v>
      </c>
      <c r="AJ24" s="127">
        <v>22.7</v>
      </c>
      <c r="AK24" s="127">
        <v>24.2</v>
      </c>
      <c r="AL24" s="127"/>
      <c r="AM24" s="169">
        <f t="shared" si="11"/>
        <v>297.3</v>
      </c>
      <c r="AN24" s="127">
        <f t="shared" si="12"/>
        <v>74.9</v>
      </c>
      <c r="AO24" s="127">
        <f t="shared" si="13"/>
        <v>110.9</v>
      </c>
      <c r="AP24" s="127">
        <f t="shared" si="14"/>
        <v>61.6</v>
      </c>
      <c r="AQ24" s="127">
        <f t="shared" si="15"/>
        <v>49.9</v>
      </c>
      <c r="AR24" s="127">
        <v>21.8</v>
      </c>
      <c r="AS24" s="127">
        <v>24.9</v>
      </c>
      <c r="AT24" s="127">
        <v>28.2</v>
      </c>
      <c r="AU24" s="127">
        <v>25.6</v>
      </c>
      <c r="AV24" s="127">
        <v>27.3</v>
      </c>
      <c r="AW24" s="127">
        <v>58</v>
      </c>
      <c r="AX24" s="127">
        <v>20.2</v>
      </c>
      <c r="AY24" s="127">
        <v>23.1</v>
      </c>
      <c r="AZ24" s="127">
        <v>18.3</v>
      </c>
      <c r="BA24" s="127">
        <v>16</v>
      </c>
      <c r="BB24" s="127">
        <v>15.9</v>
      </c>
      <c r="BC24" s="127">
        <v>18</v>
      </c>
      <c r="BD24" s="127"/>
      <c r="BE24" s="169">
        <f t="shared" si="16"/>
        <v>588</v>
      </c>
      <c r="BF24" s="127">
        <f t="shared" si="17"/>
        <v>130.8</v>
      </c>
      <c r="BG24" s="127">
        <f t="shared" si="18"/>
        <v>126.3</v>
      </c>
      <c r="BH24" s="127">
        <f t="shared" si="19"/>
        <v>148.3</v>
      </c>
      <c r="BI24" s="127">
        <f t="shared" si="20"/>
        <v>182.6</v>
      </c>
      <c r="BJ24" s="127">
        <v>45.3</v>
      </c>
      <c r="BK24" s="127">
        <v>42.3</v>
      </c>
      <c r="BL24" s="127">
        <v>43.2</v>
      </c>
      <c r="BM24" s="127">
        <v>42</v>
      </c>
      <c r="BN24" s="127">
        <v>43.9</v>
      </c>
      <c r="BO24" s="127">
        <v>40.4</v>
      </c>
      <c r="BP24" s="127">
        <v>53</v>
      </c>
      <c r="BQ24" s="127">
        <v>48</v>
      </c>
      <c r="BR24" s="127">
        <v>47.3</v>
      </c>
      <c r="BS24" s="127">
        <v>56.1</v>
      </c>
      <c r="BT24" s="127">
        <v>59.8</v>
      </c>
      <c r="BU24" s="127">
        <v>66.7</v>
      </c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33"/>
      <c r="CP24" s="134"/>
      <c r="CQ24" s="134"/>
      <c r="CR24" s="134"/>
      <c r="CS24" s="134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7"/>
      <c r="DE24" s="127"/>
      <c r="DF24" s="127"/>
      <c r="DG24" s="128"/>
      <c r="DH24" s="127"/>
      <c r="DI24" s="127"/>
      <c r="DJ24" s="127"/>
      <c r="DK24" s="127"/>
      <c r="DL24" s="127"/>
      <c r="DM24" s="127"/>
      <c r="DN24" s="127"/>
      <c r="DO24" s="127"/>
      <c r="DP24" s="127"/>
      <c r="DQ24" s="127"/>
      <c r="DR24" s="127"/>
      <c r="DS24" s="127"/>
      <c r="DT24" s="127"/>
      <c r="DU24" s="132"/>
      <c r="DV24" s="127"/>
      <c r="DW24" s="127"/>
      <c r="DX24" s="127"/>
      <c r="DY24" s="127"/>
      <c r="DZ24" s="127"/>
      <c r="EA24" s="127"/>
      <c r="EB24" s="127"/>
      <c r="EC24" s="127"/>
      <c r="ED24" s="127"/>
      <c r="EE24" s="127"/>
      <c r="EF24" s="127"/>
      <c r="EG24" s="127"/>
      <c r="EH24" s="127"/>
      <c r="EI24" s="127"/>
      <c r="EJ24" s="127"/>
      <c r="EK24" s="127"/>
      <c r="EL24" s="127"/>
      <c r="EM24" s="127"/>
      <c r="EN24" s="127"/>
      <c r="EO24" s="136"/>
      <c r="EP24" s="136"/>
      <c r="EQ24" s="123"/>
      <c r="ER24" s="123"/>
      <c r="ES24" s="123"/>
      <c r="ET24" s="123"/>
      <c r="EU24" s="127"/>
      <c r="EV24" s="127"/>
      <c r="EW24" s="127"/>
      <c r="EX24" s="127"/>
      <c r="EY24" s="127"/>
      <c r="EZ24" s="134"/>
      <c r="FA24" s="127"/>
      <c r="FB24" s="134"/>
      <c r="FC24" s="134"/>
      <c r="FD24" s="134"/>
      <c r="FE24" s="134"/>
      <c r="FF24" s="134"/>
      <c r="FG24" s="128"/>
      <c r="FH24" s="134"/>
      <c r="FI24" s="134"/>
      <c r="FJ24" s="134"/>
      <c r="FK24" s="134"/>
      <c r="FL24" s="127"/>
      <c r="FM24" s="127"/>
      <c r="FN24" s="137"/>
      <c r="FO24" s="134"/>
      <c r="FP24" s="134"/>
      <c r="FQ24" s="134"/>
      <c r="FR24" s="134"/>
      <c r="FS24" s="127"/>
      <c r="FT24" s="127"/>
      <c r="FU24" s="134"/>
      <c r="FV24" s="134"/>
      <c r="FW24" s="127"/>
      <c r="FX24" s="124"/>
      <c r="FY24" s="134"/>
      <c r="FZ24" s="134"/>
      <c r="GA24" s="134"/>
      <c r="GB24" s="134"/>
      <c r="GC24" s="127"/>
      <c r="GD24" s="127"/>
      <c r="GE24" s="127"/>
      <c r="GF24" s="127"/>
      <c r="GG24" s="127"/>
      <c r="GH24" s="127"/>
      <c r="GI24" s="127"/>
      <c r="GJ24" s="127"/>
      <c r="GK24" s="127"/>
      <c r="GL24" s="127"/>
      <c r="GM24" s="127"/>
      <c r="GN24" s="127"/>
      <c r="GO24" s="124"/>
    </row>
    <row r="25" spans="1:197" ht="24">
      <c r="A25" s="108" t="s">
        <v>56</v>
      </c>
      <c r="B25" s="154" t="s">
        <v>72</v>
      </c>
      <c r="C25" s="169">
        <f t="shared" si="1"/>
        <v>1158.1</v>
      </c>
      <c r="D25" s="127">
        <f t="shared" si="2"/>
        <v>221.7</v>
      </c>
      <c r="E25" s="127">
        <f t="shared" si="3"/>
        <v>305.8</v>
      </c>
      <c r="F25" s="127">
        <f t="shared" si="4"/>
        <v>344.3</v>
      </c>
      <c r="G25" s="127">
        <f t="shared" si="5"/>
        <v>286.3</v>
      </c>
      <c r="H25" s="127">
        <v>72.8</v>
      </c>
      <c r="I25" s="127">
        <v>56.5</v>
      </c>
      <c r="J25" s="127">
        <v>92.4</v>
      </c>
      <c r="K25" s="132">
        <v>103.4</v>
      </c>
      <c r="L25" s="127">
        <v>85.1</v>
      </c>
      <c r="M25" s="127">
        <f>118.1-0.8</f>
        <v>117.3</v>
      </c>
      <c r="N25" s="127">
        <v>104.6</v>
      </c>
      <c r="O25" s="127">
        <v>124.3</v>
      </c>
      <c r="P25" s="127">
        <v>115.4</v>
      </c>
      <c r="Q25" s="127">
        <v>128.6</v>
      </c>
      <c r="R25" s="127">
        <v>83.7</v>
      </c>
      <c r="S25" s="127">
        <v>74</v>
      </c>
      <c r="T25" s="127"/>
      <c r="U25" s="169">
        <f t="shared" si="6"/>
        <v>1288.5</v>
      </c>
      <c r="V25" s="127">
        <f t="shared" si="7"/>
        <v>208.6</v>
      </c>
      <c r="W25" s="127">
        <f t="shared" si="8"/>
        <v>325.8</v>
      </c>
      <c r="X25" s="127">
        <f t="shared" si="9"/>
        <v>430.3</v>
      </c>
      <c r="Y25" s="127">
        <f t="shared" si="10"/>
        <v>323.8</v>
      </c>
      <c r="Z25" s="127">
        <v>73.8</v>
      </c>
      <c r="AA25" s="127">
        <v>56.5</v>
      </c>
      <c r="AB25" s="127">
        <v>78.3</v>
      </c>
      <c r="AC25" s="127">
        <v>100.6</v>
      </c>
      <c r="AD25" s="127">
        <v>106.4</v>
      </c>
      <c r="AE25" s="127">
        <v>118.8</v>
      </c>
      <c r="AF25" s="127">
        <v>148.7</v>
      </c>
      <c r="AG25" s="127">
        <v>145</v>
      </c>
      <c r="AH25" s="127">
        <v>136.6</v>
      </c>
      <c r="AI25" s="127">
        <v>138.6</v>
      </c>
      <c r="AJ25" s="127">
        <v>108.3</v>
      </c>
      <c r="AK25" s="127">
        <v>76.9</v>
      </c>
      <c r="AL25" s="127"/>
      <c r="AM25" s="169">
        <f t="shared" si="11"/>
        <v>1461.9</v>
      </c>
      <c r="AN25" s="127">
        <f t="shared" si="12"/>
        <v>271.2</v>
      </c>
      <c r="AO25" s="127">
        <f t="shared" si="13"/>
        <v>406.1</v>
      </c>
      <c r="AP25" s="127">
        <f t="shared" si="14"/>
        <v>431.5</v>
      </c>
      <c r="AQ25" s="127">
        <f t="shared" si="15"/>
        <v>353.1</v>
      </c>
      <c r="AR25" s="127">
        <v>75.2</v>
      </c>
      <c r="AS25" s="127">
        <v>87.5</v>
      </c>
      <c r="AT25" s="127">
        <v>108.5</v>
      </c>
      <c r="AU25" s="127">
        <v>123.5</v>
      </c>
      <c r="AV25" s="127">
        <v>138.6</v>
      </c>
      <c r="AW25" s="127">
        <v>144</v>
      </c>
      <c r="AX25" s="127">
        <v>150.1</v>
      </c>
      <c r="AY25" s="127">
        <v>138.4</v>
      </c>
      <c r="AZ25" s="127">
        <v>143</v>
      </c>
      <c r="BA25" s="127">
        <v>149.1</v>
      </c>
      <c r="BB25" s="127">
        <v>124.4</v>
      </c>
      <c r="BC25" s="127">
        <v>79.6</v>
      </c>
      <c r="BD25" s="127"/>
      <c r="BE25" s="169">
        <f t="shared" si="16"/>
        <v>1834.7</v>
      </c>
      <c r="BF25" s="127">
        <f t="shared" si="17"/>
        <v>257</v>
      </c>
      <c r="BG25" s="127">
        <f t="shared" si="18"/>
        <v>384.9</v>
      </c>
      <c r="BH25" s="127">
        <f t="shared" si="19"/>
        <v>664.6</v>
      </c>
      <c r="BI25" s="127">
        <f t="shared" si="20"/>
        <v>528.2</v>
      </c>
      <c r="BJ25" s="127">
        <v>63.8</v>
      </c>
      <c r="BK25" s="127">
        <v>78.7</v>
      </c>
      <c r="BL25" s="127">
        <v>114.5</v>
      </c>
      <c r="BM25" s="127">
        <v>126.1</v>
      </c>
      <c r="BN25" s="127">
        <v>125.7</v>
      </c>
      <c r="BO25" s="127">
        <v>133.1</v>
      </c>
      <c r="BP25" s="127">
        <v>184.4</v>
      </c>
      <c r="BQ25" s="127">
        <v>239.3</v>
      </c>
      <c r="BR25" s="127">
        <v>240.9</v>
      </c>
      <c r="BS25" s="127">
        <v>200.5</v>
      </c>
      <c r="BT25" s="127">
        <v>173.1</v>
      </c>
      <c r="BU25" s="127">
        <v>154.6</v>
      </c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33"/>
      <c r="CP25" s="134"/>
      <c r="CQ25" s="134"/>
      <c r="CR25" s="134"/>
      <c r="CS25" s="134"/>
      <c r="CT25" s="130"/>
      <c r="CU25" s="130"/>
      <c r="CV25" s="130"/>
      <c r="CW25" s="130"/>
      <c r="CX25" s="127"/>
      <c r="CY25" s="127"/>
      <c r="CZ25" s="127"/>
      <c r="DA25" s="130"/>
      <c r="DB25" s="130"/>
      <c r="DC25" s="130"/>
      <c r="DD25" s="130"/>
      <c r="DE25" s="127"/>
      <c r="DF25" s="127"/>
      <c r="DG25" s="128"/>
      <c r="DH25" s="127"/>
      <c r="DI25" s="127"/>
      <c r="DJ25" s="127"/>
      <c r="DK25" s="127"/>
      <c r="DL25" s="127"/>
      <c r="DM25" s="127"/>
      <c r="DN25" s="127"/>
      <c r="DO25" s="127"/>
      <c r="DP25" s="127"/>
      <c r="DQ25" s="127"/>
      <c r="DR25" s="127"/>
      <c r="DS25" s="127"/>
      <c r="DT25" s="127"/>
      <c r="DU25" s="127"/>
      <c r="DV25" s="127"/>
      <c r="DW25" s="127"/>
      <c r="DX25" s="127"/>
      <c r="DY25" s="127"/>
      <c r="DZ25" s="127"/>
      <c r="EA25" s="127"/>
      <c r="EB25" s="127"/>
      <c r="EC25" s="127"/>
      <c r="ED25" s="127"/>
      <c r="EE25" s="127"/>
      <c r="EF25" s="127"/>
      <c r="EG25" s="127"/>
      <c r="EH25" s="127"/>
      <c r="EI25" s="127"/>
      <c r="EJ25" s="127"/>
      <c r="EK25" s="127"/>
      <c r="EL25" s="127"/>
      <c r="EM25" s="127"/>
      <c r="EN25" s="127"/>
      <c r="EO25" s="136"/>
      <c r="EP25" s="136"/>
      <c r="EQ25" s="123"/>
      <c r="ER25" s="123"/>
      <c r="ES25" s="123"/>
      <c r="ET25" s="123"/>
      <c r="EU25" s="127"/>
      <c r="EV25" s="127"/>
      <c r="EW25" s="127"/>
      <c r="EX25" s="127"/>
      <c r="EY25" s="127"/>
      <c r="EZ25" s="134"/>
      <c r="FA25" s="127"/>
      <c r="FB25" s="134"/>
      <c r="FC25" s="134"/>
      <c r="FD25" s="134"/>
      <c r="FE25" s="134"/>
      <c r="FF25" s="134"/>
      <c r="FG25" s="128"/>
      <c r="FH25" s="134"/>
      <c r="FI25" s="134"/>
      <c r="FJ25" s="134"/>
      <c r="FK25" s="134"/>
      <c r="FL25" s="127"/>
      <c r="FM25" s="127"/>
      <c r="FN25" s="137"/>
      <c r="FO25" s="134"/>
      <c r="FP25" s="134"/>
      <c r="FQ25" s="134"/>
      <c r="FR25" s="134"/>
      <c r="FS25" s="127"/>
      <c r="FT25" s="127"/>
      <c r="FU25" s="134"/>
      <c r="FV25" s="134"/>
      <c r="FW25" s="127"/>
      <c r="FX25" s="124"/>
      <c r="FY25" s="134"/>
      <c r="FZ25" s="134"/>
      <c r="GA25" s="134"/>
      <c r="GB25" s="134"/>
      <c r="GC25" s="127"/>
      <c r="GD25" s="127"/>
      <c r="GE25" s="127"/>
      <c r="GF25" s="127"/>
      <c r="GG25" s="127"/>
      <c r="GH25" s="127"/>
      <c r="GI25" s="127"/>
      <c r="GJ25" s="127"/>
      <c r="GK25" s="127"/>
      <c r="GL25" s="127"/>
      <c r="GM25" s="127"/>
      <c r="GN25" s="127"/>
      <c r="GO25" s="124"/>
    </row>
    <row r="26" spans="1:197" ht="24">
      <c r="A26" s="108" t="s">
        <v>57</v>
      </c>
      <c r="B26" s="154" t="s">
        <v>73</v>
      </c>
      <c r="C26" s="169">
        <f t="shared" si="1"/>
        <v>13863.3</v>
      </c>
      <c r="D26" s="130">
        <f t="shared" si="2"/>
        <v>2722.8</v>
      </c>
      <c r="E26" s="130">
        <f t="shared" si="3"/>
        <v>3385.5</v>
      </c>
      <c r="F26" s="130">
        <f t="shared" si="4"/>
        <v>3386.1</v>
      </c>
      <c r="G26" s="130">
        <f t="shared" si="5"/>
        <v>4368.9</v>
      </c>
      <c r="H26" s="130">
        <v>997.4</v>
      </c>
      <c r="I26" s="130">
        <v>840.6</v>
      </c>
      <c r="J26" s="130">
        <v>884.8</v>
      </c>
      <c r="K26" s="139">
        <v>1050.7</v>
      </c>
      <c r="L26" s="130">
        <v>1346.6</v>
      </c>
      <c r="M26" s="130">
        <v>988.2</v>
      </c>
      <c r="N26" s="130">
        <v>963.5</v>
      </c>
      <c r="O26" s="130">
        <v>953.9</v>
      </c>
      <c r="P26" s="130">
        <v>1468.7</v>
      </c>
      <c r="Q26" s="130">
        <v>1312</v>
      </c>
      <c r="R26" s="130">
        <f>1691.4-53.1</f>
        <v>1638.3</v>
      </c>
      <c r="S26" s="130">
        <v>1418.6</v>
      </c>
      <c r="T26" s="130"/>
      <c r="U26" s="169">
        <f t="shared" si="6"/>
        <v>18433</v>
      </c>
      <c r="V26" s="127">
        <f t="shared" si="7"/>
        <v>3763</v>
      </c>
      <c r="W26" s="127">
        <f t="shared" si="8"/>
        <v>4581.7</v>
      </c>
      <c r="X26" s="127">
        <f t="shared" si="9"/>
        <v>4907.9</v>
      </c>
      <c r="Y26" s="127">
        <f t="shared" si="10"/>
        <v>5180.4</v>
      </c>
      <c r="Z26" s="127">
        <v>1100.9</v>
      </c>
      <c r="AA26" s="127">
        <v>1413</v>
      </c>
      <c r="AB26" s="127">
        <v>1249.1</v>
      </c>
      <c r="AC26" s="127">
        <v>1204.3</v>
      </c>
      <c r="AD26" s="127">
        <v>1799.1</v>
      </c>
      <c r="AE26" s="127">
        <v>1578.3</v>
      </c>
      <c r="AF26" s="127">
        <v>1725</v>
      </c>
      <c r="AG26" s="127">
        <v>1622.3</v>
      </c>
      <c r="AH26" s="127">
        <v>1560.6</v>
      </c>
      <c r="AI26" s="127">
        <v>1623.2</v>
      </c>
      <c r="AJ26" s="127">
        <v>2262.9</v>
      </c>
      <c r="AK26" s="127">
        <v>1294.3</v>
      </c>
      <c r="AL26" s="127"/>
      <c r="AM26" s="181">
        <f t="shared" si="11"/>
        <v>21047.6</v>
      </c>
      <c r="AN26" s="130">
        <f t="shared" si="12"/>
        <v>5504</v>
      </c>
      <c r="AO26" s="130">
        <f t="shared" si="13"/>
        <v>4955.6</v>
      </c>
      <c r="AP26" s="130">
        <f t="shared" si="14"/>
        <v>5282.8</v>
      </c>
      <c r="AQ26" s="130">
        <f t="shared" si="15"/>
        <v>5305.2</v>
      </c>
      <c r="AR26" s="130">
        <v>2221.4</v>
      </c>
      <c r="AS26" s="130">
        <v>1509.1</v>
      </c>
      <c r="AT26" s="130">
        <v>1773.5</v>
      </c>
      <c r="AU26" s="130">
        <v>1685.2</v>
      </c>
      <c r="AV26" s="130">
        <v>1633.1</v>
      </c>
      <c r="AW26" s="130">
        <v>1637.3</v>
      </c>
      <c r="AX26" s="130">
        <v>1829.5</v>
      </c>
      <c r="AY26" s="130">
        <v>1448.5</v>
      </c>
      <c r="AZ26" s="130">
        <v>2004.8</v>
      </c>
      <c r="BA26" s="130">
        <v>2122.6</v>
      </c>
      <c r="BB26" s="130">
        <v>1752</v>
      </c>
      <c r="BC26" s="130">
        <v>1430.6</v>
      </c>
      <c r="BD26" s="130"/>
      <c r="BE26" s="181">
        <f t="shared" si="16"/>
        <v>16215.1</v>
      </c>
      <c r="BF26" s="130">
        <f t="shared" si="17"/>
        <v>4355.2</v>
      </c>
      <c r="BG26" s="130">
        <f t="shared" si="18"/>
        <v>4494.2</v>
      </c>
      <c r="BH26" s="130">
        <f t="shared" si="19"/>
        <v>3224.1</v>
      </c>
      <c r="BI26" s="130">
        <f t="shared" si="20"/>
        <v>4141.6</v>
      </c>
      <c r="BJ26" s="130">
        <v>1410</v>
      </c>
      <c r="BK26" s="130">
        <v>1540.6</v>
      </c>
      <c r="BL26" s="130">
        <v>1404.6</v>
      </c>
      <c r="BM26" s="130">
        <v>1755.8</v>
      </c>
      <c r="BN26" s="130">
        <v>1411.8</v>
      </c>
      <c r="BO26" s="130">
        <v>1326.6</v>
      </c>
      <c r="BP26" s="130">
        <v>944</v>
      </c>
      <c r="BQ26" s="130">
        <v>902.1</v>
      </c>
      <c r="BR26" s="130">
        <v>1378</v>
      </c>
      <c r="BS26" s="130">
        <v>1048.2</v>
      </c>
      <c r="BT26" s="130">
        <v>1090.5</v>
      </c>
      <c r="BU26" s="130">
        <f>2159.4-156.5</f>
        <v>2002.9</v>
      </c>
      <c r="BV26" s="130"/>
      <c r="BW26" s="130"/>
      <c r="BX26" s="130"/>
      <c r="BY26" s="130"/>
      <c r="BZ26" s="130"/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0"/>
      <c r="CL26" s="130"/>
      <c r="CM26" s="130"/>
      <c r="CN26" s="127"/>
      <c r="CO26" s="133"/>
      <c r="CP26" s="134"/>
      <c r="CQ26" s="134"/>
      <c r="CR26" s="134"/>
      <c r="CS26" s="134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7"/>
      <c r="DE26" s="132"/>
      <c r="DF26" s="132"/>
      <c r="DG26" s="128"/>
      <c r="DH26" s="127"/>
      <c r="DI26" s="127"/>
      <c r="DJ26" s="127"/>
      <c r="DK26" s="127"/>
      <c r="DL26" s="127"/>
      <c r="DM26" s="127"/>
      <c r="DN26" s="127"/>
      <c r="DO26" s="127"/>
      <c r="DP26" s="127"/>
      <c r="DQ26" s="127"/>
      <c r="DR26" s="127"/>
      <c r="DS26" s="127"/>
      <c r="DT26" s="127"/>
      <c r="DU26" s="132"/>
      <c r="DV26" s="127"/>
      <c r="DW26" s="127"/>
      <c r="DX26" s="127"/>
      <c r="DY26" s="127"/>
      <c r="DZ26" s="127"/>
      <c r="EA26" s="127"/>
      <c r="EB26" s="127"/>
      <c r="EC26" s="127"/>
      <c r="ED26" s="127"/>
      <c r="EE26" s="127"/>
      <c r="EF26" s="127"/>
      <c r="EG26" s="127"/>
      <c r="EH26" s="127"/>
      <c r="EI26" s="127"/>
      <c r="EJ26" s="127"/>
      <c r="EK26" s="127"/>
      <c r="EL26" s="127"/>
      <c r="EM26" s="127"/>
      <c r="EN26" s="127"/>
      <c r="EO26" s="136"/>
      <c r="EP26" s="136"/>
      <c r="EQ26" s="123"/>
      <c r="ER26" s="123"/>
      <c r="ES26" s="123"/>
      <c r="ET26" s="123"/>
      <c r="EU26" s="127"/>
      <c r="EV26" s="127"/>
      <c r="EW26" s="127"/>
      <c r="EX26" s="127"/>
      <c r="EY26" s="127"/>
      <c r="EZ26" s="134"/>
      <c r="FA26" s="127"/>
      <c r="FB26" s="134"/>
      <c r="FC26" s="134"/>
      <c r="FD26" s="134"/>
      <c r="FE26" s="134"/>
      <c r="FF26" s="134"/>
      <c r="FG26" s="128"/>
      <c r="FH26" s="134"/>
      <c r="FI26" s="134"/>
      <c r="FJ26" s="134"/>
      <c r="FK26" s="134"/>
      <c r="FL26" s="127"/>
      <c r="FM26" s="127"/>
      <c r="FN26" s="137"/>
      <c r="FO26" s="134"/>
      <c r="FP26" s="134"/>
      <c r="FQ26" s="134"/>
      <c r="FR26" s="134"/>
      <c r="FS26" s="127"/>
      <c r="FT26" s="127"/>
      <c r="FU26" s="134"/>
      <c r="FV26" s="134"/>
      <c r="FW26" s="127"/>
      <c r="FX26" s="124"/>
      <c r="FY26" s="134"/>
      <c r="FZ26" s="134"/>
      <c r="GA26" s="134"/>
      <c r="GB26" s="134"/>
      <c r="GC26" s="127"/>
      <c r="GD26" s="127"/>
      <c r="GE26" s="127"/>
      <c r="GF26" s="127"/>
      <c r="GG26" s="127"/>
      <c r="GH26" s="127"/>
      <c r="GI26" s="127"/>
      <c r="GJ26" s="127"/>
      <c r="GK26" s="127"/>
      <c r="GL26" s="127"/>
      <c r="GM26" s="127"/>
      <c r="GN26" s="127"/>
      <c r="GO26" s="124"/>
    </row>
    <row r="27" spans="1:197" ht="12.75" customHeight="1">
      <c r="A27" s="108" t="s">
        <v>60</v>
      </c>
      <c r="B27" s="154" t="s">
        <v>74</v>
      </c>
      <c r="C27" s="169">
        <f t="shared" si="1"/>
        <v>320.7</v>
      </c>
      <c r="D27" s="127">
        <f t="shared" si="2"/>
        <v>67.6</v>
      </c>
      <c r="E27" s="127">
        <f t="shared" si="3"/>
        <v>82.7</v>
      </c>
      <c r="F27" s="127">
        <f t="shared" si="4"/>
        <v>91.8</v>
      </c>
      <c r="G27" s="127">
        <f t="shared" si="5"/>
        <v>78.6</v>
      </c>
      <c r="H27" s="127">
        <v>16.4</v>
      </c>
      <c r="I27" s="127">
        <v>20.4</v>
      </c>
      <c r="J27" s="127">
        <v>30.8</v>
      </c>
      <c r="K27" s="132">
        <v>24.9</v>
      </c>
      <c r="L27" s="127">
        <v>25.1</v>
      </c>
      <c r="M27" s="127">
        <f>33.5-0.8</f>
        <v>32.7</v>
      </c>
      <c r="N27" s="127">
        <v>34.4</v>
      </c>
      <c r="O27" s="127">
        <v>24.7</v>
      </c>
      <c r="P27" s="127">
        <v>32.7</v>
      </c>
      <c r="Q27" s="127">
        <v>29.2</v>
      </c>
      <c r="R27" s="127">
        <v>27.8</v>
      </c>
      <c r="S27" s="127">
        <v>21.6</v>
      </c>
      <c r="T27" s="127"/>
      <c r="U27" s="169">
        <f t="shared" si="6"/>
        <v>333.2</v>
      </c>
      <c r="V27" s="127">
        <f t="shared" si="7"/>
        <v>35.7</v>
      </c>
      <c r="W27" s="127">
        <f t="shared" si="8"/>
        <v>67.3</v>
      </c>
      <c r="X27" s="127">
        <f t="shared" si="9"/>
        <v>117.4</v>
      </c>
      <c r="Y27" s="127">
        <f t="shared" si="10"/>
        <v>112.8</v>
      </c>
      <c r="Z27" s="127">
        <v>7.2</v>
      </c>
      <c r="AA27" s="127">
        <v>13.9</v>
      </c>
      <c r="AB27" s="127">
        <v>14.6</v>
      </c>
      <c r="AC27" s="127">
        <v>25.6</v>
      </c>
      <c r="AD27" s="127">
        <v>20</v>
      </c>
      <c r="AE27" s="127">
        <v>21.7</v>
      </c>
      <c r="AF27" s="127">
        <v>29.5</v>
      </c>
      <c r="AG27" s="127">
        <v>35.5</v>
      </c>
      <c r="AH27" s="127">
        <v>52.4</v>
      </c>
      <c r="AI27" s="127">
        <v>39.8</v>
      </c>
      <c r="AJ27" s="127">
        <v>34.8</v>
      </c>
      <c r="AK27" s="127">
        <v>38.2</v>
      </c>
      <c r="AL27" s="127"/>
      <c r="AM27" s="169">
        <f t="shared" si="11"/>
        <v>397.3</v>
      </c>
      <c r="AN27" s="127">
        <f t="shared" si="12"/>
        <v>104.2</v>
      </c>
      <c r="AO27" s="127">
        <f t="shared" si="13"/>
        <v>92.3</v>
      </c>
      <c r="AP27" s="127">
        <f t="shared" si="14"/>
        <v>88.2</v>
      </c>
      <c r="AQ27" s="127">
        <f t="shared" si="15"/>
        <v>112.6</v>
      </c>
      <c r="AR27" s="127">
        <v>30.2</v>
      </c>
      <c r="AS27" s="127">
        <v>35.2</v>
      </c>
      <c r="AT27" s="127">
        <v>38.8</v>
      </c>
      <c r="AU27" s="127">
        <v>35.4</v>
      </c>
      <c r="AV27" s="127">
        <v>19.8</v>
      </c>
      <c r="AW27" s="127">
        <v>37.1</v>
      </c>
      <c r="AX27" s="127">
        <v>32.5</v>
      </c>
      <c r="AY27" s="127">
        <v>24.6</v>
      </c>
      <c r="AZ27" s="127">
        <v>31.1</v>
      </c>
      <c r="BA27" s="127">
        <v>39.3</v>
      </c>
      <c r="BB27" s="127">
        <v>40.5</v>
      </c>
      <c r="BC27" s="127">
        <v>32.8</v>
      </c>
      <c r="BD27" s="127"/>
      <c r="BE27" s="169">
        <f t="shared" si="16"/>
        <v>377.6</v>
      </c>
      <c r="BF27" s="127">
        <f t="shared" si="17"/>
        <v>68</v>
      </c>
      <c r="BG27" s="127">
        <f t="shared" si="18"/>
        <v>104.1</v>
      </c>
      <c r="BH27" s="127">
        <f t="shared" si="19"/>
        <v>103</v>
      </c>
      <c r="BI27" s="127">
        <f t="shared" si="20"/>
        <v>102.5</v>
      </c>
      <c r="BJ27" s="127">
        <v>19.1</v>
      </c>
      <c r="BK27" s="127">
        <v>21.7</v>
      </c>
      <c r="BL27" s="127">
        <v>27.2</v>
      </c>
      <c r="BM27" s="127">
        <v>33.3</v>
      </c>
      <c r="BN27" s="127">
        <v>35.2</v>
      </c>
      <c r="BO27" s="127">
        <v>35.6</v>
      </c>
      <c r="BP27" s="127">
        <v>38</v>
      </c>
      <c r="BQ27" s="127">
        <v>31.7</v>
      </c>
      <c r="BR27" s="127">
        <v>33.3</v>
      </c>
      <c r="BS27" s="127">
        <v>39.7</v>
      </c>
      <c r="BT27" s="127">
        <v>36.5</v>
      </c>
      <c r="BU27" s="127">
        <f>41.8-15.5</f>
        <v>26.3</v>
      </c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33"/>
      <c r="CP27" s="134"/>
      <c r="CQ27" s="134"/>
      <c r="CR27" s="134"/>
      <c r="CS27" s="134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7"/>
      <c r="DE27" s="127"/>
      <c r="DF27" s="127"/>
      <c r="DG27" s="128"/>
      <c r="DH27" s="127"/>
      <c r="DI27" s="127"/>
      <c r="DJ27" s="127"/>
      <c r="DK27" s="127"/>
      <c r="DL27" s="127"/>
      <c r="DM27" s="127"/>
      <c r="DN27" s="127"/>
      <c r="DO27" s="127"/>
      <c r="DP27" s="127"/>
      <c r="DQ27" s="127"/>
      <c r="DR27" s="127"/>
      <c r="DS27" s="127"/>
      <c r="DT27" s="127"/>
      <c r="DU27" s="127"/>
      <c r="DV27" s="127"/>
      <c r="DW27" s="127"/>
      <c r="DX27" s="127"/>
      <c r="DY27" s="127"/>
      <c r="DZ27" s="127"/>
      <c r="EA27" s="127"/>
      <c r="EB27" s="127"/>
      <c r="EC27" s="127"/>
      <c r="ED27" s="127"/>
      <c r="EE27" s="127"/>
      <c r="EF27" s="127"/>
      <c r="EG27" s="127"/>
      <c r="EH27" s="127"/>
      <c r="EI27" s="127"/>
      <c r="EJ27" s="127"/>
      <c r="EK27" s="132"/>
      <c r="EL27" s="132"/>
      <c r="EM27" s="127"/>
      <c r="EN27" s="132"/>
      <c r="EO27" s="136"/>
      <c r="EP27" s="136"/>
      <c r="EQ27" s="123"/>
      <c r="ER27" s="123"/>
      <c r="ES27" s="123"/>
      <c r="ET27" s="123"/>
      <c r="EU27" s="127"/>
      <c r="EV27" s="127"/>
      <c r="EW27" s="127"/>
      <c r="EX27" s="127"/>
      <c r="EY27" s="127"/>
      <c r="EZ27" s="134"/>
      <c r="FA27" s="127"/>
      <c r="FB27" s="134"/>
      <c r="FC27" s="134"/>
      <c r="FD27" s="134"/>
      <c r="FE27" s="134"/>
      <c r="FF27" s="134"/>
      <c r="FG27" s="128"/>
      <c r="FH27" s="134"/>
      <c r="FI27" s="134"/>
      <c r="FJ27" s="134"/>
      <c r="FK27" s="134"/>
      <c r="FL27" s="127"/>
      <c r="FM27" s="127"/>
      <c r="FN27" s="137"/>
      <c r="FO27" s="134"/>
      <c r="FP27" s="134"/>
      <c r="FQ27" s="134"/>
      <c r="FR27" s="134"/>
      <c r="FS27" s="127"/>
      <c r="FT27" s="127"/>
      <c r="FU27" s="134"/>
      <c r="FV27" s="134"/>
      <c r="FW27" s="127"/>
      <c r="FX27" s="124"/>
      <c r="FY27" s="134"/>
      <c r="FZ27" s="134"/>
      <c r="GA27" s="134"/>
      <c r="GB27" s="134"/>
      <c r="GC27" s="127"/>
      <c r="GD27" s="127"/>
      <c r="GE27" s="127"/>
      <c r="GF27" s="127"/>
      <c r="GG27" s="127"/>
      <c r="GH27" s="127"/>
      <c r="GI27" s="127"/>
      <c r="GJ27" s="127"/>
      <c r="GK27" s="127"/>
      <c r="GL27" s="127"/>
      <c r="GM27" s="127"/>
      <c r="GN27" s="127"/>
      <c r="GO27" s="124"/>
    </row>
    <row r="28" spans="1:197" ht="24">
      <c r="A28" s="108" t="s">
        <v>58</v>
      </c>
      <c r="B28" s="154" t="s">
        <v>75</v>
      </c>
      <c r="C28" s="169">
        <f t="shared" si="1"/>
        <v>1040.6</v>
      </c>
      <c r="D28" s="127">
        <f t="shared" si="2"/>
        <v>260.5</v>
      </c>
      <c r="E28" s="127">
        <f t="shared" si="3"/>
        <v>255.7</v>
      </c>
      <c r="F28" s="127">
        <f t="shared" si="4"/>
        <v>264.6</v>
      </c>
      <c r="G28" s="127">
        <f t="shared" si="5"/>
        <v>259.8</v>
      </c>
      <c r="H28" s="127">
        <v>86.2</v>
      </c>
      <c r="I28" s="127">
        <v>89.1</v>
      </c>
      <c r="J28" s="127">
        <v>85.2</v>
      </c>
      <c r="K28" s="132">
        <v>94.1</v>
      </c>
      <c r="L28" s="127">
        <v>74.7</v>
      </c>
      <c r="M28" s="127">
        <v>86.9</v>
      </c>
      <c r="N28" s="127">
        <v>93.6</v>
      </c>
      <c r="O28" s="127">
        <v>89.3</v>
      </c>
      <c r="P28" s="127">
        <v>81.7</v>
      </c>
      <c r="Q28" s="127">
        <v>70.5</v>
      </c>
      <c r="R28" s="127">
        <f>105.4-8.3</f>
        <v>97.1</v>
      </c>
      <c r="S28" s="127">
        <v>92.2</v>
      </c>
      <c r="T28" s="127"/>
      <c r="U28" s="169">
        <f t="shared" si="6"/>
        <v>1169.9</v>
      </c>
      <c r="V28" s="127">
        <f t="shared" si="7"/>
        <v>279</v>
      </c>
      <c r="W28" s="127">
        <f t="shared" si="8"/>
        <v>298</v>
      </c>
      <c r="X28" s="127">
        <f t="shared" si="9"/>
        <v>246.9</v>
      </c>
      <c r="Y28" s="127">
        <f t="shared" si="10"/>
        <v>346</v>
      </c>
      <c r="Z28" s="127">
        <v>83</v>
      </c>
      <c r="AA28" s="127">
        <v>103.6</v>
      </c>
      <c r="AB28" s="127">
        <v>92.4</v>
      </c>
      <c r="AC28" s="127">
        <v>106.4</v>
      </c>
      <c r="AD28" s="127">
        <v>84.3</v>
      </c>
      <c r="AE28" s="127">
        <v>107.3</v>
      </c>
      <c r="AF28" s="127">
        <v>110.4</v>
      </c>
      <c r="AG28" s="127">
        <v>42.6</v>
      </c>
      <c r="AH28" s="127">
        <v>93.9</v>
      </c>
      <c r="AI28" s="127">
        <v>111.2</v>
      </c>
      <c r="AJ28" s="127">
        <v>111.1</v>
      </c>
      <c r="AK28" s="127">
        <v>123.7</v>
      </c>
      <c r="AL28" s="127"/>
      <c r="AM28" s="169">
        <f t="shared" si="11"/>
        <v>1349.1</v>
      </c>
      <c r="AN28" s="127">
        <f t="shared" si="12"/>
        <v>338.5</v>
      </c>
      <c r="AO28" s="127">
        <f t="shared" si="13"/>
        <v>328.9</v>
      </c>
      <c r="AP28" s="127">
        <f t="shared" si="14"/>
        <v>259</v>
      </c>
      <c r="AQ28" s="127">
        <f t="shared" si="15"/>
        <v>422.7</v>
      </c>
      <c r="AR28" s="127">
        <v>108.7</v>
      </c>
      <c r="AS28" s="127">
        <f>120.9-12.5</f>
        <v>108.4</v>
      </c>
      <c r="AT28" s="127">
        <f>133.9-12.5</f>
        <v>121.4</v>
      </c>
      <c r="AU28" s="127">
        <f>129.4-15</f>
        <v>114.4</v>
      </c>
      <c r="AV28" s="127">
        <f>118.9-13</f>
        <v>105.9</v>
      </c>
      <c r="AW28" s="127">
        <f>121.1-12.5</f>
        <v>108.6</v>
      </c>
      <c r="AX28" s="127">
        <f>98.1-9.5</f>
        <v>88.6</v>
      </c>
      <c r="AY28" s="127">
        <f>86.9-12.5</f>
        <v>74.4</v>
      </c>
      <c r="AZ28" s="127">
        <f>126.5-30.5</f>
        <v>96</v>
      </c>
      <c r="BA28" s="127">
        <f>141.3-20.5</f>
        <v>120.8</v>
      </c>
      <c r="BB28" s="127">
        <v>159.5</v>
      </c>
      <c r="BC28" s="127">
        <v>142.4</v>
      </c>
      <c r="BD28" s="127"/>
      <c r="BE28" s="169">
        <f t="shared" si="16"/>
        <v>1313.4</v>
      </c>
      <c r="BF28" s="127">
        <f t="shared" si="17"/>
        <v>373.7</v>
      </c>
      <c r="BG28" s="127">
        <f t="shared" si="18"/>
        <v>325.1</v>
      </c>
      <c r="BH28" s="127">
        <f t="shared" si="19"/>
        <v>307.8</v>
      </c>
      <c r="BI28" s="127">
        <f t="shared" si="20"/>
        <v>306.8</v>
      </c>
      <c r="BJ28" s="127">
        <v>122.1</v>
      </c>
      <c r="BK28" s="127">
        <v>130.1</v>
      </c>
      <c r="BL28" s="127">
        <v>121.5</v>
      </c>
      <c r="BM28" s="127">
        <v>100.2</v>
      </c>
      <c r="BN28" s="127">
        <v>95.6</v>
      </c>
      <c r="BO28" s="127">
        <v>129.3</v>
      </c>
      <c r="BP28" s="127">
        <v>93.3</v>
      </c>
      <c r="BQ28" s="127">
        <v>108.9</v>
      </c>
      <c r="BR28" s="127">
        <v>105.6</v>
      </c>
      <c r="BS28" s="127">
        <v>100.6</v>
      </c>
      <c r="BT28" s="127">
        <v>102.7</v>
      </c>
      <c r="BU28" s="127">
        <v>103.5</v>
      </c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33"/>
      <c r="CP28" s="134"/>
      <c r="CQ28" s="134"/>
      <c r="CR28" s="134"/>
      <c r="CS28" s="134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7"/>
      <c r="DE28" s="132"/>
      <c r="DF28" s="132"/>
      <c r="DG28" s="128"/>
      <c r="DH28" s="127"/>
      <c r="DI28" s="127"/>
      <c r="DJ28" s="127"/>
      <c r="DK28" s="127"/>
      <c r="DL28" s="132"/>
      <c r="DM28" s="132"/>
      <c r="DN28" s="132"/>
      <c r="DO28" s="132"/>
      <c r="DP28" s="132"/>
      <c r="DQ28" s="132"/>
      <c r="DR28" s="132"/>
      <c r="DS28" s="127"/>
      <c r="DT28" s="127"/>
      <c r="DU28" s="132"/>
      <c r="DV28" s="127"/>
      <c r="DW28" s="127"/>
      <c r="DX28" s="127"/>
      <c r="DY28" s="127"/>
      <c r="DZ28" s="127"/>
      <c r="EA28" s="127"/>
      <c r="EB28" s="127"/>
      <c r="EC28" s="127"/>
      <c r="ED28" s="127"/>
      <c r="EE28" s="127"/>
      <c r="EF28" s="127"/>
      <c r="EG28" s="127"/>
      <c r="EH28" s="127"/>
      <c r="EI28" s="127"/>
      <c r="EJ28" s="127"/>
      <c r="EK28" s="127"/>
      <c r="EL28" s="127"/>
      <c r="EM28" s="127"/>
      <c r="EN28" s="127"/>
      <c r="EO28" s="136"/>
      <c r="EP28" s="136"/>
      <c r="EQ28" s="123"/>
      <c r="ER28" s="123"/>
      <c r="ES28" s="123"/>
      <c r="ET28" s="123"/>
      <c r="EU28" s="127"/>
      <c r="EV28" s="127"/>
      <c r="EW28" s="127"/>
      <c r="EX28" s="127"/>
      <c r="EY28" s="127"/>
      <c r="EZ28" s="134"/>
      <c r="FA28" s="132"/>
      <c r="FB28" s="134"/>
      <c r="FC28" s="134"/>
      <c r="FD28" s="134"/>
      <c r="FE28" s="134"/>
      <c r="FF28" s="134"/>
      <c r="FG28" s="128"/>
      <c r="FH28" s="134"/>
      <c r="FI28" s="134"/>
      <c r="FJ28" s="134"/>
      <c r="FK28" s="134"/>
      <c r="FL28" s="127"/>
      <c r="FM28" s="127"/>
      <c r="FN28" s="137"/>
      <c r="FO28" s="134"/>
      <c r="FP28" s="134"/>
      <c r="FQ28" s="134"/>
      <c r="FR28" s="134"/>
      <c r="FS28" s="127"/>
      <c r="FT28" s="127"/>
      <c r="FU28" s="134"/>
      <c r="FV28" s="134"/>
      <c r="FW28" s="127"/>
      <c r="FX28" s="124"/>
      <c r="FY28" s="134"/>
      <c r="FZ28" s="134"/>
      <c r="GA28" s="134"/>
      <c r="GB28" s="134"/>
      <c r="GC28" s="127"/>
      <c r="GD28" s="127"/>
      <c r="GE28" s="127"/>
      <c r="GF28" s="127"/>
      <c r="GG28" s="127"/>
      <c r="GH28" s="127"/>
      <c r="GI28" s="127"/>
      <c r="GJ28" s="127"/>
      <c r="GK28" s="127"/>
      <c r="GL28" s="127"/>
      <c r="GM28" s="127"/>
      <c r="GN28" s="127"/>
      <c r="GO28" s="124"/>
    </row>
    <row r="29" spans="1:197" ht="24">
      <c r="A29" s="108" t="s">
        <v>59</v>
      </c>
      <c r="B29" s="154" t="s">
        <v>80</v>
      </c>
      <c r="C29" s="169">
        <f t="shared" si="1"/>
        <v>87.7</v>
      </c>
      <c r="D29" s="127">
        <f t="shared" si="2"/>
        <v>19.8</v>
      </c>
      <c r="E29" s="127">
        <f t="shared" si="3"/>
        <v>27.5</v>
      </c>
      <c r="F29" s="127">
        <f t="shared" si="4"/>
        <v>17.5</v>
      </c>
      <c r="G29" s="127">
        <f t="shared" si="5"/>
        <v>22.9</v>
      </c>
      <c r="H29" s="127">
        <v>8</v>
      </c>
      <c r="I29" s="127">
        <v>7.5</v>
      </c>
      <c r="J29" s="127">
        <v>4.3</v>
      </c>
      <c r="K29" s="132">
        <v>9.3</v>
      </c>
      <c r="L29" s="127">
        <v>8.4</v>
      </c>
      <c r="M29" s="127">
        <v>9.8</v>
      </c>
      <c r="N29" s="127">
        <v>6.2</v>
      </c>
      <c r="O29" s="127">
        <v>7.5</v>
      </c>
      <c r="P29" s="127">
        <v>3.8</v>
      </c>
      <c r="Q29" s="127">
        <v>7.5</v>
      </c>
      <c r="R29" s="127">
        <v>8.5</v>
      </c>
      <c r="S29" s="127">
        <v>6.9</v>
      </c>
      <c r="T29" s="127"/>
      <c r="U29" s="169">
        <f t="shared" si="6"/>
        <v>165.9</v>
      </c>
      <c r="V29" s="127">
        <f t="shared" si="7"/>
        <v>13.4</v>
      </c>
      <c r="W29" s="127">
        <f t="shared" si="8"/>
        <v>49.4</v>
      </c>
      <c r="X29" s="127">
        <f t="shared" si="9"/>
        <v>54.3</v>
      </c>
      <c r="Y29" s="127">
        <f t="shared" si="10"/>
        <v>48.8</v>
      </c>
      <c r="Z29" s="127">
        <v>1.6</v>
      </c>
      <c r="AA29" s="127">
        <v>6.7</v>
      </c>
      <c r="AB29" s="127">
        <v>5.1</v>
      </c>
      <c r="AC29" s="127">
        <v>3.6</v>
      </c>
      <c r="AD29" s="127">
        <v>15.2</v>
      </c>
      <c r="AE29" s="127">
        <v>30.6</v>
      </c>
      <c r="AF29" s="127">
        <v>16.5</v>
      </c>
      <c r="AG29" s="127">
        <v>23.6</v>
      </c>
      <c r="AH29" s="127">
        <v>14.2</v>
      </c>
      <c r="AI29" s="127">
        <v>13.2</v>
      </c>
      <c r="AJ29" s="127">
        <v>13.6</v>
      </c>
      <c r="AK29" s="127">
        <v>22</v>
      </c>
      <c r="AL29" s="127"/>
      <c r="AM29" s="169">
        <f t="shared" si="11"/>
        <v>228.2</v>
      </c>
      <c r="AN29" s="127">
        <f t="shared" si="12"/>
        <v>43.4</v>
      </c>
      <c r="AO29" s="127">
        <f t="shared" si="13"/>
        <v>44</v>
      </c>
      <c r="AP29" s="127">
        <f t="shared" si="14"/>
        <v>79</v>
      </c>
      <c r="AQ29" s="127">
        <f t="shared" si="15"/>
        <v>61.8</v>
      </c>
      <c r="AR29" s="127">
        <v>13.4</v>
      </c>
      <c r="AS29" s="127">
        <v>11.9</v>
      </c>
      <c r="AT29" s="127">
        <v>18.1</v>
      </c>
      <c r="AU29" s="127">
        <v>13.7</v>
      </c>
      <c r="AV29" s="127">
        <v>15.9</v>
      </c>
      <c r="AW29" s="127">
        <v>14.4</v>
      </c>
      <c r="AX29" s="127">
        <v>25</v>
      </c>
      <c r="AY29" s="127">
        <v>35.3</v>
      </c>
      <c r="AZ29" s="127">
        <v>18.7</v>
      </c>
      <c r="BA29" s="127">
        <v>32.8</v>
      </c>
      <c r="BB29" s="127">
        <v>14.5</v>
      </c>
      <c r="BC29" s="127">
        <v>14.5</v>
      </c>
      <c r="BD29" s="127"/>
      <c r="BE29" s="169">
        <f t="shared" si="16"/>
        <v>221.4</v>
      </c>
      <c r="BF29" s="127">
        <f t="shared" si="17"/>
        <v>33.2</v>
      </c>
      <c r="BG29" s="127">
        <f t="shared" si="18"/>
        <v>27.9</v>
      </c>
      <c r="BH29" s="127">
        <f t="shared" si="19"/>
        <v>84.7</v>
      </c>
      <c r="BI29" s="127">
        <f t="shared" si="20"/>
        <v>75.6</v>
      </c>
      <c r="BJ29" s="127">
        <v>10.1</v>
      </c>
      <c r="BK29" s="127">
        <v>11</v>
      </c>
      <c r="BL29" s="127">
        <v>12.1</v>
      </c>
      <c r="BM29" s="127">
        <v>8.8</v>
      </c>
      <c r="BN29" s="127">
        <v>8</v>
      </c>
      <c r="BO29" s="127">
        <v>11.1</v>
      </c>
      <c r="BP29" s="127">
        <v>31.4</v>
      </c>
      <c r="BQ29" s="127">
        <v>16.5</v>
      </c>
      <c r="BR29" s="127">
        <v>36.8</v>
      </c>
      <c r="BS29" s="127">
        <v>42.4</v>
      </c>
      <c r="BT29" s="127">
        <v>13.7</v>
      </c>
      <c r="BU29" s="127">
        <v>19.5</v>
      </c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38"/>
      <c r="CN29" s="127"/>
      <c r="CO29" s="133"/>
      <c r="CP29" s="134"/>
      <c r="CQ29" s="134"/>
      <c r="CR29" s="134"/>
      <c r="CS29" s="134"/>
      <c r="CT29" s="138"/>
      <c r="CU29" s="138"/>
      <c r="CV29" s="138"/>
      <c r="CW29" s="138"/>
      <c r="CX29" s="138"/>
      <c r="CY29" s="138"/>
      <c r="CZ29" s="138"/>
      <c r="DA29" s="138"/>
      <c r="DB29" s="138"/>
      <c r="DC29" s="127"/>
      <c r="DD29" s="127"/>
      <c r="DE29" s="127"/>
      <c r="DF29" s="127"/>
      <c r="DG29" s="128"/>
      <c r="DH29" s="127"/>
      <c r="DI29" s="127"/>
      <c r="DJ29" s="127"/>
      <c r="DK29" s="127"/>
      <c r="DL29" s="132"/>
      <c r="DM29" s="132"/>
      <c r="DN29" s="132"/>
      <c r="DO29" s="132"/>
      <c r="DP29" s="132"/>
      <c r="DQ29" s="132"/>
      <c r="DR29" s="132"/>
      <c r="DS29" s="132"/>
      <c r="DT29" s="132"/>
      <c r="DU29" s="132"/>
      <c r="DV29" s="127"/>
      <c r="DW29" s="127"/>
      <c r="DX29" s="127"/>
      <c r="DY29" s="127"/>
      <c r="DZ29" s="127"/>
      <c r="EA29" s="127"/>
      <c r="EB29" s="127"/>
      <c r="EC29" s="127"/>
      <c r="ED29" s="127"/>
      <c r="EE29" s="127"/>
      <c r="EF29" s="127"/>
      <c r="EG29" s="127"/>
      <c r="EH29" s="127"/>
      <c r="EI29" s="127"/>
      <c r="EJ29" s="127"/>
      <c r="EK29" s="132"/>
      <c r="EL29" s="132"/>
      <c r="EM29" s="127"/>
      <c r="EN29" s="132"/>
      <c r="EO29" s="136"/>
      <c r="EP29" s="136"/>
      <c r="EQ29" s="123"/>
      <c r="ER29" s="123"/>
      <c r="ES29" s="123"/>
      <c r="ET29" s="123"/>
      <c r="EU29" s="127"/>
      <c r="EV29" s="127"/>
      <c r="EW29" s="127"/>
      <c r="EX29" s="127"/>
      <c r="EY29" s="127"/>
      <c r="EZ29" s="134"/>
      <c r="FA29" s="127"/>
      <c r="FB29" s="134"/>
      <c r="FC29" s="134"/>
      <c r="FD29" s="134"/>
      <c r="FE29" s="134"/>
      <c r="FF29" s="134"/>
      <c r="FG29" s="128"/>
      <c r="FH29" s="134"/>
      <c r="FI29" s="134"/>
      <c r="FJ29" s="134"/>
      <c r="FK29" s="134"/>
      <c r="FL29" s="127"/>
      <c r="FM29" s="127"/>
      <c r="FN29" s="137"/>
      <c r="FO29" s="134"/>
      <c r="FP29" s="134"/>
      <c r="FQ29" s="134"/>
      <c r="FR29" s="134"/>
      <c r="FS29" s="127"/>
      <c r="FT29" s="127"/>
      <c r="FU29" s="134"/>
      <c r="FV29" s="134"/>
      <c r="FW29" s="127"/>
      <c r="FX29" s="124"/>
      <c r="FY29" s="134"/>
      <c r="FZ29" s="134"/>
      <c r="GA29" s="134"/>
      <c r="GB29" s="134"/>
      <c r="GC29" s="127"/>
      <c r="GD29" s="127"/>
      <c r="GE29" s="127"/>
      <c r="GF29" s="127"/>
      <c r="GG29" s="127"/>
      <c r="GH29" s="127"/>
      <c r="GI29" s="127"/>
      <c r="GJ29" s="127"/>
      <c r="GK29" s="127"/>
      <c r="GL29" s="127"/>
      <c r="GM29" s="127"/>
      <c r="GN29" s="127"/>
      <c r="GO29" s="124"/>
    </row>
    <row r="30" spans="1:197" ht="12">
      <c r="A30" s="108" t="s">
        <v>41</v>
      </c>
      <c r="B30" s="154" t="s">
        <v>76</v>
      </c>
      <c r="C30" s="169">
        <f t="shared" si="1"/>
        <v>195.5</v>
      </c>
      <c r="D30" s="127">
        <f t="shared" si="2"/>
        <v>36.8</v>
      </c>
      <c r="E30" s="127">
        <f t="shared" si="3"/>
        <v>33.6</v>
      </c>
      <c r="F30" s="127">
        <f t="shared" si="4"/>
        <v>68</v>
      </c>
      <c r="G30" s="127">
        <f t="shared" si="5"/>
        <v>57.1</v>
      </c>
      <c r="H30" s="127">
        <v>11.9</v>
      </c>
      <c r="I30" s="127">
        <v>11</v>
      </c>
      <c r="J30" s="127">
        <f>14.1-0.2</f>
        <v>13.9</v>
      </c>
      <c r="K30" s="132">
        <v>10.6</v>
      </c>
      <c r="L30" s="127">
        <v>13.2</v>
      </c>
      <c r="M30" s="127">
        <v>9.8</v>
      </c>
      <c r="N30" s="127">
        <v>23.1</v>
      </c>
      <c r="O30" s="127">
        <v>25.1</v>
      </c>
      <c r="P30" s="127">
        <v>19.8</v>
      </c>
      <c r="Q30" s="127">
        <v>21.9</v>
      </c>
      <c r="R30" s="127">
        <v>15.3</v>
      </c>
      <c r="S30" s="127">
        <v>19.9</v>
      </c>
      <c r="T30" s="127"/>
      <c r="U30" s="169">
        <f t="shared" si="6"/>
        <v>273.4</v>
      </c>
      <c r="V30" s="127">
        <f t="shared" si="7"/>
        <v>42</v>
      </c>
      <c r="W30" s="127">
        <f t="shared" si="8"/>
        <v>59.1</v>
      </c>
      <c r="X30" s="127">
        <f t="shared" si="9"/>
        <v>82.2</v>
      </c>
      <c r="Y30" s="127">
        <f t="shared" si="10"/>
        <v>90.1</v>
      </c>
      <c r="Z30" s="127">
        <v>16.1</v>
      </c>
      <c r="AA30" s="127">
        <v>10.3</v>
      </c>
      <c r="AB30" s="127">
        <v>15.6</v>
      </c>
      <c r="AC30" s="127">
        <v>18.3</v>
      </c>
      <c r="AD30" s="127">
        <v>20.5</v>
      </c>
      <c r="AE30" s="127">
        <v>20.3</v>
      </c>
      <c r="AF30" s="127">
        <v>27.1</v>
      </c>
      <c r="AG30" s="127">
        <v>24</v>
      </c>
      <c r="AH30" s="127">
        <v>31.1</v>
      </c>
      <c r="AI30" s="127">
        <v>32.6</v>
      </c>
      <c r="AJ30" s="127">
        <v>27.1</v>
      </c>
      <c r="AK30" s="127">
        <v>30.4</v>
      </c>
      <c r="AL30" s="127"/>
      <c r="AM30" s="169">
        <f t="shared" si="11"/>
        <v>347.3</v>
      </c>
      <c r="AN30" s="127">
        <f t="shared" si="12"/>
        <v>81.9</v>
      </c>
      <c r="AO30" s="127">
        <f t="shared" si="13"/>
        <v>92.7</v>
      </c>
      <c r="AP30" s="127">
        <f t="shared" si="14"/>
        <v>95</v>
      </c>
      <c r="AQ30" s="127">
        <f t="shared" si="15"/>
        <v>77.7</v>
      </c>
      <c r="AR30" s="127">
        <v>30.9</v>
      </c>
      <c r="AS30" s="127">
        <v>22.8</v>
      </c>
      <c r="AT30" s="127">
        <v>28.2</v>
      </c>
      <c r="AU30" s="127">
        <v>30.7</v>
      </c>
      <c r="AV30" s="127">
        <v>30.4</v>
      </c>
      <c r="AW30" s="127">
        <v>31.6</v>
      </c>
      <c r="AX30" s="127">
        <v>37.6</v>
      </c>
      <c r="AY30" s="127">
        <v>33.3</v>
      </c>
      <c r="AZ30" s="127">
        <v>24.1</v>
      </c>
      <c r="BA30" s="127">
        <v>25.6</v>
      </c>
      <c r="BB30" s="127">
        <v>32.1</v>
      </c>
      <c r="BC30" s="127">
        <v>20</v>
      </c>
      <c r="BD30" s="127"/>
      <c r="BE30" s="169">
        <f t="shared" si="16"/>
        <v>278.3</v>
      </c>
      <c r="BF30" s="127">
        <f t="shared" si="17"/>
        <v>62.6</v>
      </c>
      <c r="BG30" s="127">
        <f t="shared" si="18"/>
        <v>64.7</v>
      </c>
      <c r="BH30" s="127">
        <f t="shared" si="19"/>
        <v>70.8</v>
      </c>
      <c r="BI30" s="127">
        <f t="shared" si="20"/>
        <v>80.2</v>
      </c>
      <c r="BJ30" s="127">
        <v>20.6</v>
      </c>
      <c r="BK30" s="127">
        <v>20.3</v>
      </c>
      <c r="BL30" s="127">
        <v>21.7</v>
      </c>
      <c r="BM30" s="127">
        <v>18.4</v>
      </c>
      <c r="BN30" s="127">
        <v>24.1</v>
      </c>
      <c r="BO30" s="127">
        <v>22.2</v>
      </c>
      <c r="BP30" s="127">
        <f>29.6-14.4</f>
        <v>15.2</v>
      </c>
      <c r="BQ30" s="127">
        <v>26.2</v>
      </c>
      <c r="BR30" s="127">
        <v>29.4</v>
      </c>
      <c r="BS30" s="127">
        <v>27</v>
      </c>
      <c r="BT30" s="127">
        <v>26.5</v>
      </c>
      <c r="BU30" s="127">
        <v>26.7</v>
      </c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33"/>
      <c r="CP30" s="134"/>
      <c r="CQ30" s="134"/>
      <c r="CR30" s="134"/>
      <c r="CS30" s="134"/>
      <c r="CT30" s="127"/>
      <c r="CU30" s="127"/>
      <c r="CV30" s="127"/>
      <c r="CW30" s="127"/>
      <c r="CX30" s="127"/>
      <c r="CY30" s="127"/>
      <c r="CZ30" s="127"/>
      <c r="DA30" s="127"/>
      <c r="DB30" s="132"/>
      <c r="DC30" s="132"/>
      <c r="DD30" s="132"/>
      <c r="DE30" s="127"/>
      <c r="DF30" s="127"/>
      <c r="DG30" s="128"/>
      <c r="DH30" s="127"/>
      <c r="DI30" s="127"/>
      <c r="DJ30" s="127"/>
      <c r="DK30" s="127"/>
      <c r="DL30" s="132"/>
      <c r="DM30" s="132"/>
      <c r="DN30" s="132"/>
      <c r="DO30" s="132"/>
      <c r="DP30" s="132"/>
      <c r="DQ30" s="132"/>
      <c r="DR30" s="132"/>
      <c r="DS30" s="139"/>
      <c r="DT30" s="139"/>
      <c r="DU30" s="132"/>
      <c r="DV30" s="127"/>
      <c r="DW30" s="127"/>
      <c r="DX30" s="127"/>
      <c r="DY30" s="127"/>
      <c r="DZ30" s="127"/>
      <c r="EA30" s="127"/>
      <c r="EB30" s="127"/>
      <c r="EC30" s="127"/>
      <c r="ED30" s="127"/>
      <c r="EE30" s="127"/>
      <c r="EF30" s="127"/>
      <c r="EG30" s="127"/>
      <c r="EH30" s="127"/>
      <c r="EI30" s="127"/>
      <c r="EJ30" s="127"/>
      <c r="EK30" s="132"/>
      <c r="EL30" s="132"/>
      <c r="EM30" s="127"/>
      <c r="EN30" s="132"/>
      <c r="EO30" s="136"/>
      <c r="EP30" s="136"/>
      <c r="EQ30" s="123"/>
      <c r="ER30" s="123"/>
      <c r="ES30" s="123"/>
      <c r="ET30" s="123"/>
      <c r="EU30" s="127"/>
      <c r="EV30" s="127"/>
      <c r="EW30" s="127"/>
      <c r="EX30" s="127"/>
      <c r="EY30" s="127"/>
      <c r="EZ30" s="134"/>
      <c r="FA30" s="132"/>
      <c r="FB30" s="134"/>
      <c r="FC30" s="134"/>
      <c r="FD30" s="134"/>
      <c r="FE30" s="134"/>
      <c r="FF30" s="134"/>
      <c r="FG30" s="128"/>
      <c r="FH30" s="134"/>
      <c r="FI30" s="134"/>
      <c r="FJ30" s="134"/>
      <c r="FK30" s="134"/>
      <c r="FL30" s="132"/>
      <c r="FM30" s="132"/>
      <c r="FN30" s="137"/>
      <c r="FO30" s="134"/>
      <c r="FP30" s="134"/>
      <c r="FQ30" s="134"/>
      <c r="FR30" s="134"/>
      <c r="FS30" s="127"/>
      <c r="FT30" s="127"/>
      <c r="FU30" s="134"/>
      <c r="FV30" s="134"/>
      <c r="FW30" s="127"/>
      <c r="FX30" s="124"/>
      <c r="FY30" s="134"/>
      <c r="FZ30" s="134"/>
      <c r="GA30" s="134"/>
      <c r="GB30" s="134"/>
      <c r="GC30" s="127"/>
      <c r="GD30" s="127"/>
      <c r="GE30" s="127"/>
      <c r="GF30" s="127"/>
      <c r="GG30" s="127"/>
      <c r="GH30" s="127"/>
      <c r="GI30" s="127"/>
      <c r="GJ30" s="127"/>
      <c r="GK30" s="127"/>
      <c r="GL30" s="127"/>
      <c r="GM30" s="127"/>
      <c r="GN30" s="127"/>
      <c r="GO30" s="124"/>
    </row>
    <row r="31" spans="1:197" s="13" customFormat="1" ht="12">
      <c r="A31" s="31"/>
      <c r="B31" s="155"/>
      <c r="C31" s="168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69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68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68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23"/>
      <c r="BS31" s="123"/>
      <c r="BT31" s="123"/>
      <c r="BU31" s="123"/>
      <c r="BV31" s="123"/>
      <c r="BW31" s="123"/>
      <c r="BX31" s="123"/>
      <c r="BY31" s="123"/>
      <c r="BZ31" s="123"/>
      <c r="CA31" s="123"/>
      <c r="CB31" s="123"/>
      <c r="CC31" s="123"/>
      <c r="CD31" s="123"/>
      <c r="CE31" s="123"/>
      <c r="CF31" s="123"/>
      <c r="CG31" s="123"/>
      <c r="CH31" s="123"/>
      <c r="CI31" s="123"/>
      <c r="CJ31" s="123"/>
      <c r="CK31" s="123"/>
      <c r="CL31" s="123"/>
      <c r="CM31" s="123"/>
      <c r="CN31" s="127"/>
      <c r="CO31" s="124"/>
      <c r="CP31" s="123"/>
      <c r="CQ31" s="123"/>
      <c r="CR31" s="123"/>
      <c r="CS31" s="123"/>
      <c r="CT31" s="131"/>
      <c r="CU31" s="131"/>
      <c r="CV31" s="131"/>
      <c r="CW31" s="131"/>
      <c r="CX31" s="131"/>
      <c r="CY31" s="131"/>
      <c r="CZ31" s="131"/>
      <c r="DA31" s="131"/>
      <c r="DB31" s="131"/>
      <c r="DC31" s="131"/>
      <c r="DD31" s="131"/>
      <c r="DE31" s="131"/>
      <c r="DF31" s="131"/>
      <c r="DG31" s="124"/>
      <c r="DH31" s="123"/>
      <c r="DI31" s="123"/>
      <c r="DJ31" s="123"/>
      <c r="DK31" s="123"/>
      <c r="DL31" s="132"/>
      <c r="DM31" s="132"/>
      <c r="DN31" s="132"/>
      <c r="DO31" s="132"/>
      <c r="DP31" s="132"/>
      <c r="DQ31" s="132"/>
      <c r="DR31" s="132"/>
      <c r="DS31" s="131"/>
      <c r="DT31" s="131"/>
      <c r="DU31" s="127"/>
      <c r="DV31" s="130"/>
      <c r="DW31" s="130"/>
      <c r="DX31" s="130"/>
      <c r="DY31" s="123"/>
      <c r="DZ31" s="123"/>
      <c r="EA31" s="123"/>
      <c r="EB31" s="123"/>
      <c r="EC31" s="127"/>
      <c r="ED31" s="127"/>
      <c r="EE31" s="127"/>
      <c r="EF31" s="127"/>
      <c r="EG31" s="127"/>
      <c r="EH31" s="123"/>
      <c r="EI31" s="123"/>
      <c r="EJ31" s="123"/>
      <c r="EK31" s="123"/>
      <c r="EL31" s="123"/>
      <c r="EM31" s="123"/>
      <c r="EN31" s="123"/>
      <c r="EO31" s="136"/>
      <c r="EP31" s="136"/>
      <c r="EQ31" s="123"/>
      <c r="ER31" s="123"/>
      <c r="ES31" s="123"/>
      <c r="ET31" s="123"/>
      <c r="EU31" s="123"/>
      <c r="EV31" s="123"/>
      <c r="EW31" s="123"/>
      <c r="EX31" s="123"/>
      <c r="EY31" s="123"/>
      <c r="EZ31" s="123"/>
      <c r="FA31" s="123"/>
      <c r="FB31" s="123"/>
      <c r="FC31" s="123"/>
      <c r="FD31" s="123"/>
      <c r="FE31" s="123"/>
      <c r="FF31" s="123"/>
      <c r="FG31" s="128"/>
      <c r="FH31" s="134"/>
      <c r="FI31" s="134"/>
      <c r="FJ31" s="134"/>
      <c r="FK31" s="123"/>
      <c r="FL31" s="131"/>
      <c r="FM31" s="131"/>
      <c r="FN31" s="131"/>
      <c r="FO31" s="123"/>
      <c r="FP31" s="134"/>
      <c r="FQ31" s="134"/>
      <c r="FR31" s="123"/>
      <c r="FS31" s="123"/>
      <c r="FT31" s="123"/>
      <c r="FU31" s="123"/>
      <c r="FV31" s="123"/>
      <c r="FW31" s="123"/>
      <c r="FX31" s="124"/>
      <c r="FY31" s="123"/>
      <c r="FZ31" s="123"/>
      <c r="GA31" s="123"/>
      <c r="GB31" s="123"/>
      <c r="GC31" s="123"/>
      <c r="GD31" s="123"/>
      <c r="GE31" s="123"/>
      <c r="GF31" s="123"/>
      <c r="GG31" s="123"/>
      <c r="GH31" s="123"/>
      <c r="GI31" s="123"/>
      <c r="GJ31" s="123"/>
      <c r="GK31" s="123"/>
      <c r="GL31" s="123"/>
      <c r="GM31" s="123"/>
      <c r="GN31" s="123"/>
      <c r="GO31" s="124"/>
    </row>
    <row r="32" spans="1:197" s="150" customFormat="1" ht="24.75" thickBot="1">
      <c r="A32" s="143" t="s">
        <v>61</v>
      </c>
      <c r="B32" s="156" t="s">
        <v>77</v>
      </c>
      <c r="C32" s="170">
        <f>D32+E32+F32+G32</f>
        <v>4630.9</v>
      </c>
      <c r="D32" s="144">
        <f>H32+I32+J32</f>
        <v>963.2</v>
      </c>
      <c r="E32" s="144">
        <f>K32+L32+M32</f>
        <v>817.8</v>
      </c>
      <c r="F32" s="144">
        <f>N32+O32+P32</f>
        <v>1654.3</v>
      </c>
      <c r="G32" s="144">
        <f>Q32+R32+S32</f>
        <v>1195.6</v>
      </c>
      <c r="H32" s="144">
        <v>258.2</v>
      </c>
      <c r="I32" s="144">
        <v>286.3</v>
      </c>
      <c r="J32" s="144">
        <v>418.7</v>
      </c>
      <c r="K32" s="144">
        <v>259.9</v>
      </c>
      <c r="L32" s="144">
        <v>201.9</v>
      </c>
      <c r="M32" s="144">
        <v>356</v>
      </c>
      <c r="N32" s="144">
        <v>792.6</v>
      </c>
      <c r="O32" s="144">
        <v>571</v>
      </c>
      <c r="P32" s="144">
        <v>290.7</v>
      </c>
      <c r="Q32" s="144">
        <v>501.3</v>
      </c>
      <c r="R32" s="144">
        <v>356.8</v>
      </c>
      <c r="S32" s="144">
        <v>337.5</v>
      </c>
      <c r="T32" s="144"/>
      <c r="U32" s="170">
        <f>V32+W32+X32+Y32</f>
        <v>7381.6</v>
      </c>
      <c r="V32" s="144">
        <f>Z32+AA32+AB32</f>
        <v>1212.4</v>
      </c>
      <c r="W32" s="144">
        <f>AC32+AD32+AE32</f>
        <v>2127.6</v>
      </c>
      <c r="X32" s="144">
        <f>AF32+AG32+AH32</f>
        <v>2884.3</v>
      </c>
      <c r="Y32" s="144">
        <f>AI32+AJ32+AK32</f>
        <v>1157.3</v>
      </c>
      <c r="Z32" s="144">
        <v>448</v>
      </c>
      <c r="AA32" s="144">
        <v>358.9</v>
      </c>
      <c r="AB32" s="144">
        <v>405.5</v>
      </c>
      <c r="AC32" s="144">
        <v>354.5</v>
      </c>
      <c r="AD32" s="144">
        <v>713.4</v>
      </c>
      <c r="AE32" s="144">
        <v>1059.7</v>
      </c>
      <c r="AF32" s="144">
        <v>1285.2</v>
      </c>
      <c r="AG32" s="144">
        <v>1157.7</v>
      </c>
      <c r="AH32" s="144">
        <v>441.4</v>
      </c>
      <c r="AI32" s="144">
        <v>190.3</v>
      </c>
      <c r="AJ32" s="144">
        <v>405.9</v>
      </c>
      <c r="AK32" s="144">
        <v>561.1</v>
      </c>
      <c r="AL32" s="144"/>
      <c r="AM32" s="170">
        <f>AN32+AO32+AP32+AQ32</f>
        <v>7525</v>
      </c>
      <c r="AN32" s="144">
        <f>AR32+AS32+AT32</f>
        <v>1981.8</v>
      </c>
      <c r="AO32" s="144">
        <f>AU32+AV32+AW32</f>
        <v>1612.3</v>
      </c>
      <c r="AP32" s="144">
        <f>AX32+AY32+AZ32</f>
        <v>2714.9</v>
      </c>
      <c r="AQ32" s="144">
        <f>BA32+BB32+BC32</f>
        <v>1216</v>
      </c>
      <c r="AR32" s="144">
        <v>605</v>
      </c>
      <c r="AS32" s="144">
        <v>708.3</v>
      </c>
      <c r="AT32" s="144">
        <v>668.5</v>
      </c>
      <c r="AU32" s="144">
        <v>329.7</v>
      </c>
      <c r="AV32" s="144">
        <v>390</v>
      </c>
      <c r="AW32" s="144">
        <v>892.6</v>
      </c>
      <c r="AX32" s="144">
        <v>1327.7</v>
      </c>
      <c r="AY32" s="144">
        <v>1004.9</v>
      </c>
      <c r="AZ32" s="144">
        <v>382.3</v>
      </c>
      <c r="BA32" s="144">
        <v>254.8</v>
      </c>
      <c r="BB32" s="144">
        <v>401.7</v>
      </c>
      <c r="BC32" s="144">
        <v>559.5</v>
      </c>
      <c r="BD32" s="144"/>
      <c r="BE32" s="170">
        <f>BF32+BG32+BH32+BI32</f>
        <v>9317.6</v>
      </c>
      <c r="BF32" s="144">
        <f>BJ32+BK32+BL32</f>
        <v>2346.7</v>
      </c>
      <c r="BG32" s="144">
        <f>BM32+BN32+BO32</f>
        <v>1651.2</v>
      </c>
      <c r="BH32" s="144">
        <f>BP32+BQ32+BR32</f>
        <v>2470.9</v>
      </c>
      <c r="BI32" s="144">
        <f>BS32+BT32+BU32</f>
        <v>2848.8</v>
      </c>
      <c r="BJ32" s="144">
        <v>679.7</v>
      </c>
      <c r="BK32" s="144">
        <v>861.1</v>
      </c>
      <c r="BL32" s="144">
        <v>805.9</v>
      </c>
      <c r="BM32" s="144">
        <v>639.8</v>
      </c>
      <c r="BN32" s="144">
        <v>540</v>
      </c>
      <c r="BO32" s="144">
        <v>471.4</v>
      </c>
      <c r="BP32" s="144">
        <v>868.7</v>
      </c>
      <c r="BQ32" s="144">
        <v>959.4</v>
      </c>
      <c r="BR32" s="144">
        <v>642.8</v>
      </c>
      <c r="BS32" s="144">
        <v>731.3</v>
      </c>
      <c r="BT32" s="144">
        <v>888.9</v>
      </c>
      <c r="BU32" s="144">
        <v>1228.6</v>
      </c>
      <c r="BV32" s="144"/>
      <c r="BW32" s="145"/>
      <c r="BX32" s="144"/>
      <c r="BY32" s="144"/>
      <c r="BZ32" s="144"/>
      <c r="CA32" s="144"/>
      <c r="CB32" s="144"/>
      <c r="CC32" s="144"/>
      <c r="CD32" s="144"/>
      <c r="CE32" s="144"/>
      <c r="CF32" s="144"/>
      <c r="CG32" s="144"/>
      <c r="CH32" s="144"/>
      <c r="CI32" s="144"/>
      <c r="CJ32" s="144"/>
      <c r="CK32" s="144"/>
      <c r="CL32" s="144"/>
      <c r="CM32" s="144"/>
      <c r="CN32" s="146"/>
      <c r="CO32" s="145"/>
      <c r="CP32" s="144"/>
      <c r="CQ32" s="144"/>
      <c r="CR32" s="144"/>
      <c r="CS32" s="144"/>
      <c r="CT32" s="144"/>
      <c r="CU32" s="144"/>
      <c r="CV32" s="144"/>
      <c r="CW32" s="144"/>
      <c r="CX32" s="144"/>
      <c r="CY32" s="144"/>
      <c r="CZ32" s="144"/>
      <c r="DA32" s="144"/>
      <c r="DB32" s="144"/>
      <c r="DC32" s="144"/>
      <c r="DD32" s="144"/>
      <c r="DE32" s="144"/>
      <c r="DF32" s="144"/>
      <c r="DG32" s="145"/>
      <c r="DH32" s="144"/>
      <c r="DI32" s="144"/>
      <c r="DJ32" s="144"/>
      <c r="DK32" s="144"/>
      <c r="DL32" s="144"/>
      <c r="DM32" s="144"/>
      <c r="DN32" s="144"/>
      <c r="DO32" s="144"/>
      <c r="DP32" s="144"/>
      <c r="DQ32" s="144"/>
      <c r="DR32" s="144"/>
      <c r="DS32" s="144"/>
      <c r="DT32" s="144"/>
      <c r="DU32" s="144"/>
      <c r="DV32" s="147"/>
      <c r="DW32" s="147"/>
      <c r="DX32" s="147"/>
      <c r="DY32" s="144"/>
      <c r="DZ32" s="144"/>
      <c r="EA32" s="144"/>
      <c r="EB32" s="144"/>
      <c r="EC32" s="148"/>
      <c r="ED32" s="148"/>
      <c r="EE32" s="148"/>
      <c r="EF32" s="148"/>
      <c r="EG32" s="148"/>
      <c r="EH32" s="144"/>
      <c r="EI32" s="144"/>
      <c r="EJ32" s="144"/>
      <c r="EK32" s="144"/>
      <c r="EL32" s="144"/>
      <c r="EM32" s="144"/>
      <c r="EN32" s="144"/>
      <c r="EO32" s="149"/>
      <c r="EP32" s="149"/>
      <c r="EQ32" s="144"/>
      <c r="ER32" s="144"/>
      <c r="ES32" s="144"/>
      <c r="ET32" s="144"/>
      <c r="EU32" s="148"/>
      <c r="EV32" s="148"/>
      <c r="EW32" s="148"/>
      <c r="EX32" s="148"/>
      <c r="EY32" s="148"/>
      <c r="EZ32" s="144"/>
      <c r="FA32" s="144"/>
      <c r="FB32" s="144"/>
      <c r="FC32" s="144"/>
      <c r="FD32" s="144"/>
      <c r="FE32" s="144"/>
      <c r="FF32" s="144"/>
      <c r="FG32" s="145"/>
      <c r="FH32" s="144"/>
      <c r="FI32" s="144"/>
      <c r="FJ32" s="144"/>
      <c r="FK32" s="144"/>
      <c r="FL32" s="144"/>
      <c r="FM32" s="144"/>
      <c r="FN32" s="144"/>
      <c r="FO32" s="144"/>
      <c r="FP32" s="144"/>
      <c r="FQ32" s="144"/>
      <c r="FR32" s="144"/>
      <c r="FS32" s="144"/>
      <c r="FT32" s="144"/>
      <c r="FU32" s="144"/>
      <c r="FV32" s="144"/>
      <c r="FW32" s="144"/>
      <c r="FX32" s="145"/>
      <c r="FY32" s="144"/>
      <c r="FZ32" s="144"/>
      <c r="GA32" s="144"/>
      <c r="GB32" s="144"/>
      <c r="GC32" s="144"/>
      <c r="GD32" s="144"/>
      <c r="GE32" s="144"/>
      <c r="GF32" s="144"/>
      <c r="GG32" s="144"/>
      <c r="GH32" s="144"/>
      <c r="GI32" s="144"/>
      <c r="GJ32" s="144"/>
      <c r="GK32" s="144"/>
      <c r="GL32" s="144"/>
      <c r="GM32" s="144"/>
      <c r="GN32" s="144"/>
      <c r="GO32" s="145"/>
    </row>
    <row r="33" spans="1:197" s="22" customFormat="1" ht="12.75" customHeight="1">
      <c r="A33" s="33"/>
      <c r="B33" s="33"/>
      <c r="C33" s="171"/>
      <c r="D33" s="24"/>
      <c r="E33" s="23"/>
      <c r="F33" s="23"/>
      <c r="G33" s="24"/>
      <c r="J33" s="23"/>
      <c r="K33" s="24"/>
      <c r="M33" s="23"/>
      <c r="N33" s="23"/>
      <c r="O33" s="23"/>
      <c r="P33" s="24"/>
      <c r="Q33" s="23"/>
      <c r="U33" s="171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171"/>
      <c r="AO33" s="23"/>
      <c r="AP33" s="23"/>
      <c r="AQ33" s="23"/>
      <c r="AR33" s="23"/>
      <c r="BC33" s="23"/>
      <c r="BD33" s="23"/>
      <c r="BE33" s="171"/>
      <c r="BF33" s="23"/>
      <c r="BG33" s="23"/>
      <c r="BH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54"/>
      <c r="BY33" s="23"/>
      <c r="CA33" s="23"/>
      <c r="CC33" s="23"/>
      <c r="CG33" s="23"/>
      <c r="CK33" s="23"/>
      <c r="CL33" s="23"/>
      <c r="CN33" s="27"/>
      <c r="CO33" s="54"/>
      <c r="CP33" s="23"/>
      <c r="CQ33" s="23"/>
      <c r="CR33" s="23"/>
      <c r="CS33" s="23"/>
      <c r="DG33" s="54"/>
      <c r="DH33" s="23"/>
      <c r="DI33" s="23"/>
      <c r="DJ33" s="23"/>
      <c r="DK33" s="23"/>
      <c r="DM33" s="23"/>
      <c r="DN33" s="23"/>
      <c r="DO33" s="23"/>
      <c r="DP33" s="23"/>
      <c r="DQ33" s="23"/>
      <c r="DR33" s="23"/>
      <c r="DS33" s="23"/>
      <c r="DT33" s="23"/>
      <c r="DU33" s="23"/>
      <c r="DV33" s="34"/>
      <c r="DW33" s="34"/>
      <c r="DX33" s="34"/>
      <c r="DZ33" s="23"/>
      <c r="EC33" s="45"/>
      <c r="ED33" s="45"/>
      <c r="EE33" s="45"/>
      <c r="EF33" s="45"/>
      <c r="EG33" s="46"/>
      <c r="EI33" s="23"/>
      <c r="EK33" s="23"/>
      <c r="EL33" s="23"/>
      <c r="EM33" s="23"/>
      <c r="EN33" s="23"/>
      <c r="EO33" s="55"/>
      <c r="EP33" s="55"/>
      <c r="EU33" s="45"/>
      <c r="EV33" s="45"/>
      <c r="EW33" s="45"/>
      <c r="EX33" s="46"/>
      <c r="EY33" s="45"/>
      <c r="FA33" s="23"/>
      <c r="FE33" s="57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T33" s="23"/>
      <c r="FU33" s="23"/>
      <c r="FX33" s="116"/>
      <c r="GO33" s="116"/>
    </row>
    <row r="34" spans="1:197" s="88" customFormat="1" ht="12">
      <c r="A34" s="87"/>
      <c r="B34" s="29"/>
      <c r="C34" s="172"/>
      <c r="D34" s="24"/>
      <c r="E34" s="79"/>
      <c r="F34" s="79"/>
      <c r="G34" s="24"/>
      <c r="J34" s="79"/>
      <c r="K34" s="24"/>
      <c r="M34" s="79"/>
      <c r="N34" s="79"/>
      <c r="O34" s="79"/>
      <c r="P34" s="24"/>
      <c r="Q34" s="79"/>
      <c r="U34" s="172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172"/>
      <c r="AO34" s="79"/>
      <c r="AP34" s="79"/>
      <c r="AQ34" s="79"/>
      <c r="AR34" s="79"/>
      <c r="BC34" s="79"/>
      <c r="BD34" s="79"/>
      <c r="BE34" s="172"/>
      <c r="BF34" s="79"/>
      <c r="BG34" s="79"/>
      <c r="BH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89"/>
      <c r="BY34" s="79"/>
      <c r="CA34" s="79"/>
      <c r="CC34" s="79"/>
      <c r="CG34" s="79"/>
      <c r="CK34" s="79"/>
      <c r="CL34" s="79"/>
      <c r="CN34" s="43"/>
      <c r="CO34" s="89"/>
      <c r="CP34" s="79"/>
      <c r="CQ34" s="79"/>
      <c r="CR34" s="79"/>
      <c r="CS34" s="79"/>
      <c r="DG34" s="89"/>
      <c r="DH34" s="79"/>
      <c r="DI34" s="79"/>
      <c r="DJ34" s="79"/>
      <c r="DK34" s="79"/>
      <c r="DM34" s="79"/>
      <c r="DN34" s="79"/>
      <c r="DO34" s="79"/>
      <c r="DP34" s="79"/>
      <c r="DQ34" s="79"/>
      <c r="DR34" s="79"/>
      <c r="DS34" s="79"/>
      <c r="DT34" s="79"/>
      <c r="DU34" s="79"/>
      <c r="DV34" s="34"/>
      <c r="DW34" s="34"/>
      <c r="DX34" s="34"/>
      <c r="DZ34" s="79"/>
      <c r="EC34" s="90"/>
      <c r="ED34" s="90"/>
      <c r="EE34" s="90"/>
      <c r="EF34" s="90"/>
      <c r="EG34" s="91"/>
      <c r="EI34" s="79"/>
      <c r="EK34" s="79"/>
      <c r="EL34" s="79"/>
      <c r="EM34" s="79"/>
      <c r="EN34" s="79"/>
      <c r="EO34" s="55"/>
      <c r="EP34" s="55"/>
      <c r="EU34" s="90"/>
      <c r="EV34" s="90"/>
      <c r="EW34" s="90"/>
      <c r="EX34" s="91"/>
      <c r="EY34" s="90"/>
      <c r="FA34" s="79"/>
      <c r="FE34" s="92"/>
      <c r="FG34" s="79"/>
      <c r="FH34" s="79"/>
      <c r="FI34" s="79"/>
      <c r="FJ34" s="79"/>
      <c r="FK34" s="79"/>
      <c r="FL34" s="79"/>
      <c r="FM34" s="79"/>
      <c r="FN34" s="79"/>
      <c r="FO34" s="79"/>
      <c r="FP34" s="79"/>
      <c r="FU34" s="79"/>
      <c r="FX34" s="96"/>
      <c r="GO34" s="96"/>
    </row>
    <row r="35" spans="1:197" s="88" customFormat="1" ht="12">
      <c r="A35" s="87"/>
      <c r="B35" s="5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U35" s="172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172"/>
      <c r="AO35" s="79"/>
      <c r="AP35" s="79"/>
      <c r="AQ35" s="79"/>
      <c r="AR35" s="79"/>
      <c r="BC35" s="79"/>
      <c r="BD35" s="79"/>
      <c r="BE35" s="172"/>
      <c r="BF35" s="79"/>
      <c r="BG35" s="79"/>
      <c r="BH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89"/>
      <c r="BY35" s="79"/>
      <c r="CA35" s="79"/>
      <c r="CC35" s="79"/>
      <c r="CG35" s="79"/>
      <c r="CK35" s="79"/>
      <c r="CL35" s="79"/>
      <c r="CN35" s="43"/>
      <c r="CO35" s="89"/>
      <c r="CP35" s="79"/>
      <c r="CQ35" s="79"/>
      <c r="CR35" s="79"/>
      <c r="CS35" s="79"/>
      <c r="DG35" s="89"/>
      <c r="DH35" s="79"/>
      <c r="DI35" s="79"/>
      <c r="DJ35" s="79"/>
      <c r="DK35" s="79"/>
      <c r="DM35" s="79"/>
      <c r="DN35" s="79"/>
      <c r="DO35" s="79"/>
      <c r="DP35" s="79"/>
      <c r="DQ35" s="79"/>
      <c r="DR35" s="79"/>
      <c r="DS35" s="79"/>
      <c r="DT35" s="79"/>
      <c r="DU35" s="79"/>
      <c r="DV35" s="34"/>
      <c r="DW35" s="34"/>
      <c r="DX35" s="34"/>
      <c r="DZ35" s="79"/>
      <c r="EC35" s="90"/>
      <c r="ED35" s="90"/>
      <c r="EE35" s="90"/>
      <c r="EF35" s="90"/>
      <c r="EG35" s="91"/>
      <c r="EI35" s="79"/>
      <c r="EK35" s="79"/>
      <c r="EL35" s="79"/>
      <c r="EM35" s="79"/>
      <c r="EN35" s="79"/>
      <c r="EO35" s="55"/>
      <c r="EP35" s="55"/>
      <c r="EU35" s="90"/>
      <c r="EV35" s="90"/>
      <c r="EW35" s="90"/>
      <c r="EX35" s="90"/>
      <c r="EY35" s="90"/>
      <c r="EZ35" s="90"/>
      <c r="FA35" s="90"/>
      <c r="FB35" s="90"/>
      <c r="FC35" s="90"/>
      <c r="FD35" s="90"/>
      <c r="FE35" s="90"/>
      <c r="FG35" s="79"/>
      <c r="FH35" s="79"/>
      <c r="FI35" s="79"/>
      <c r="FJ35" s="79"/>
      <c r="FK35" s="79"/>
      <c r="FL35" s="79"/>
      <c r="FM35" s="79"/>
      <c r="FN35" s="79"/>
      <c r="FO35" s="79"/>
      <c r="FP35" s="79"/>
      <c r="FU35" s="79"/>
      <c r="FX35" s="96"/>
      <c r="GO35" s="96"/>
    </row>
    <row r="36" spans="1:197" s="88" customFormat="1" ht="12">
      <c r="A36" s="87"/>
      <c r="B36" s="52"/>
      <c r="C36" s="172"/>
      <c r="D36" s="24"/>
      <c r="E36" s="79"/>
      <c r="F36" s="79"/>
      <c r="G36" s="24"/>
      <c r="J36" s="79"/>
      <c r="K36" s="24"/>
      <c r="M36" s="79"/>
      <c r="N36" s="79"/>
      <c r="O36" s="79"/>
      <c r="P36" s="24"/>
      <c r="Q36" s="79"/>
      <c r="U36" s="172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172"/>
      <c r="AO36" s="79"/>
      <c r="AP36" s="79"/>
      <c r="AQ36" s="79"/>
      <c r="AR36" s="79"/>
      <c r="BC36" s="79"/>
      <c r="BD36" s="79"/>
      <c r="BE36" s="172"/>
      <c r="BF36" s="79"/>
      <c r="BG36" s="79"/>
      <c r="BH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89"/>
      <c r="BY36" s="79"/>
      <c r="CA36" s="79"/>
      <c r="CC36" s="79"/>
      <c r="CG36" s="79"/>
      <c r="CK36" s="79"/>
      <c r="CL36" s="79"/>
      <c r="CN36" s="43"/>
      <c r="CO36" s="89"/>
      <c r="CP36" s="79"/>
      <c r="CQ36" s="79"/>
      <c r="CR36" s="79"/>
      <c r="CS36" s="79"/>
      <c r="DG36" s="89"/>
      <c r="DH36" s="79"/>
      <c r="DI36" s="79"/>
      <c r="DJ36" s="79"/>
      <c r="DK36" s="79"/>
      <c r="DM36" s="79"/>
      <c r="DN36" s="79"/>
      <c r="DO36" s="79"/>
      <c r="DP36" s="79"/>
      <c r="DQ36" s="79"/>
      <c r="DR36" s="79"/>
      <c r="DS36" s="79"/>
      <c r="DT36" s="79"/>
      <c r="DU36" s="79"/>
      <c r="DV36" s="34"/>
      <c r="DW36" s="34"/>
      <c r="DX36" s="34"/>
      <c r="DZ36" s="79"/>
      <c r="EC36" s="90"/>
      <c r="ED36" s="90"/>
      <c r="EE36" s="90"/>
      <c r="EF36" s="90"/>
      <c r="EG36" s="91"/>
      <c r="EI36" s="79"/>
      <c r="EK36" s="79"/>
      <c r="EL36" s="79"/>
      <c r="EM36" s="79"/>
      <c r="EN36" s="79"/>
      <c r="EO36" s="55"/>
      <c r="EP36" s="55"/>
      <c r="EU36" s="90"/>
      <c r="EV36" s="90"/>
      <c r="EW36" s="90"/>
      <c r="EX36" s="91"/>
      <c r="EY36" s="90"/>
      <c r="FA36" s="79"/>
      <c r="FE36" s="92"/>
      <c r="FG36" s="79"/>
      <c r="FH36" s="79"/>
      <c r="FI36" s="79"/>
      <c r="FJ36" s="79"/>
      <c r="FK36" s="79"/>
      <c r="FL36" s="79"/>
      <c r="FM36" s="79"/>
      <c r="FN36" s="79"/>
      <c r="FP36" s="79"/>
      <c r="FU36" s="79"/>
      <c r="FX36" s="96"/>
      <c r="GO36" s="96"/>
    </row>
    <row r="37" spans="1:197" s="88" customFormat="1" ht="12">
      <c r="A37" s="87"/>
      <c r="B37" s="52"/>
      <c r="C37" s="172"/>
      <c r="D37" s="24"/>
      <c r="E37" s="79"/>
      <c r="F37" s="79"/>
      <c r="G37" s="24"/>
      <c r="J37" s="79"/>
      <c r="K37" s="24"/>
      <c r="M37" s="79"/>
      <c r="N37" s="79"/>
      <c r="O37" s="79"/>
      <c r="P37" s="24"/>
      <c r="Q37" s="79"/>
      <c r="U37" s="172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172"/>
      <c r="AO37" s="79"/>
      <c r="AP37" s="79"/>
      <c r="AQ37" s="79"/>
      <c r="AR37" s="79"/>
      <c r="BC37" s="79"/>
      <c r="BD37" s="79"/>
      <c r="BE37" s="172"/>
      <c r="BF37" s="79"/>
      <c r="BG37" s="79"/>
      <c r="BH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89"/>
      <c r="BY37" s="79"/>
      <c r="CA37" s="79"/>
      <c r="CC37" s="79"/>
      <c r="CG37" s="79"/>
      <c r="CK37" s="79"/>
      <c r="CL37" s="79"/>
      <c r="CN37" s="43"/>
      <c r="CO37" s="89"/>
      <c r="CP37" s="79"/>
      <c r="CQ37" s="79"/>
      <c r="CR37" s="79"/>
      <c r="CS37" s="79"/>
      <c r="DG37" s="89"/>
      <c r="DH37" s="79"/>
      <c r="DI37" s="79"/>
      <c r="DJ37" s="79"/>
      <c r="DK37" s="79"/>
      <c r="DM37" s="79"/>
      <c r="DN37" s="79"/>
      <c r="DO37" s="79"/>
      <c r="DP37" s="79"/>
      <c r="DQ37" s="79"/>
      <c r="DR37" s="79"/>
      <c r="DS37" s="79"/>
      <c r="DT37" s="79"/>
      <c r="DU37" s="79"/>
      <c r="DV37" s="34"/>
      <c r="DW37" s="34"/>
      <c r="DX37" s="34"/>
      <c r="DZ37" s="79"/>
      <c r="EC37" s="90"/>
      <c r="ED37" s="90"/>
      <c r="EE37" s="90"/>
      <c r="EF37" s="90"/>
      <c r="EG37" s="91"/>
      <c r="EI37" s="79"/>
      <c r="EK37" s="79"/>
      <c r="EL37" s="79"/>
      <c r="EM37" s="79"/>
      <c r="EN37" s="79"/>
      <c r="EO37" s="55"/>
      <c r="EP37" s="55"/>
      <c r="EU37" s="90"/>
      <c r="EV37" s="90"/>
      <c r="EW37" s="90"/>
      <c r="EX37" s="90"/>
      <c r="EY37" s="90"/>
      <c r="EZ37" s="90"/>
      <c r="FA37" s="90"/>
      <c r="FB37" s="90"/>
      <c r="FC37" s="90"/>
      <c r="FD37" s="90"/>
      <c r="FE37" s="90"/>
      <c r="FG37" s="79"/>
      <c r="FH37" s="79"/>
      <c r="FI37" s="79"/>
      <c r="FJ37" s="79"/>
      <c r="FK37" s="79"/>
      <c r="FL37" s="79"/>
      <c r="FM37" s="79"/>
      <c r="FN37" s="79"/>
      <c r="FP37" s="79"/>
      <c r="FU37" s="79"/>
      <c r="FX37" s="96"/>
      <c r="GO37" s="96"/>
    </row>
    <row r="38" spans="1:197" s="3" customFormat="1" ht="12">
      <c r="A38" s="86"/>
      <c r="C38" s="173"/>
      <c r="U38" s="173"/>
      <c r="AM38" s="173"/>
      <c r="BE38" s="173"/>
      <c r="CO38" s="93"/>
      <c r="FE38" s="94"/>
      <c r="FK38" s="43"/>
      <c r="FL38" s="43"/>
      <c r="FU38" s="43"/>
      <c r="FX38" s="96"/>
      <c r="GO38" s="96"/>
    </row>
    <row r="39" spans="3:197" s="3" customFormat="1" ht="12">
      <c r="C39" s="173"/>
      <c r="U39" s="173"/>
      <c r="AM39" s="173"/>
      <c r="BE39" s="173"/>
      <c r="CO39" s="93"/>
      <c r="FE39" s="94"/>
      <c r="FK39" s="43"/>
      <c r="FL39" s="43"/>
      <c r="FU39" s="43"/>
      <c r="FX39" s="96"/>
      <c r="GO39" s="96"/>
    </row>
    <row r="40" spans="3:197" s="3" customFormat="1" ht="12">
      <c r="C40" s="173"/>
      <c r="U40" s="173"/>
      <c r="AM40" s="173"/>
      <c r="BE40" s="173"/>
      <c r="CO40" s="93"/>
      <c r="FE40" s="94"/>
      <c r="FK40" s="43"/>
      <c r="FL40" s="43"/>
      <c r="FU40" s="43"/>
      <c r="FX40" s="96"/>
      <c r="GO40" s="96"/>
    </row>
    <row r="41" spans="1:197" s="2" customFormat="1" ht="15.75">
      <c r="A41" s="1"/>
      <c r="B41" s="1"/>
      <c r="C41" s="160"/>
      <c r="U41" s="160"/>
      <c r="AM41" s="160"/>
      <c r="BE41" s="160"/>
      <c r="CO41" s="39"/>
      <c r="DV41" s="3"/>
      <c r="DW41" s="3"/>
      <c r="DX41" s="3"/>
      <c r="FE41" s="47"/>
      <c r="FK41" s="26"/>
      <c r="FL41" s="26"/>
      <c r="FU41" s="26"/>
      <c r="FX41" s="118"/>
      <c r="GO41" s="118"/>
    </row>
    <row r="42" spans="1:197" s="2" customFormat="1" ht="12">
      <c r="A42" s="58"/>
      <c r="B42" s="59"/>
      <c r="C42" s="174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174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M42" s="160"/>
      <c r="BE42" s="160"/>
      <c r="CO42" s="39"/>
      <c r="DV42" s="3"/>
      <c r="DW42" s="3"/>
      <c r="DX42" s="3"/>
      <c r="FE42" s="47"/>
      <c r="FK42" s="26"/>
      <c r="FL42" s="26"/>
      <c r="FU42" s="26"/>
      <c r="FX42" s="118"/>
      <c r="GO42" s="118"/>
    </row>
    <row r="43" spans="3:197" s="60" customFormat="1" ht="12">
      <c r="C43" s="175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175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175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175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1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3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1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4"/>
      <c r="DW43" s="64"/>
      <c r="DX43" s="64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4"/>
      <c r="EN43" s="64"/>
      <c r="EO43" s="64"/>
      <c r="EP43" s="64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5"/>
      <c r="FF43" s="64"/>
      <c r="FH43" s="62"/>
      <c r="FI43" s="62"/>
      <c r="FJ43" s="62"/>
      <c r="FK43" s="110"/>
      <c r="FL43" s="110"/>
      <c r="FM43" s="62"/>
      <c r="FN43" s="62"/>
      <c r="FP43" s="62"/>
      <c r="FQ43" s="62"/>
      <c r="FR43" s="62"/>
      <c r="FS43" s="62"/>
      <c r="FT43" s="62"/>
      <c r="FU43" s="110"/>
      <c r="FV43" s="64"/>
      <c r="FW43" s="64"/>
      <c r="FX43" s="117"/>
      <c r="GO43" s="117"/>
    </row>
    <row r="44" spans="2:197" s="11" customFormat="1" ht="15.75">
      <c r="B44" s="1"/>
      <c r="C44" s="164"/>
      <c r="U44" s="164"/>
      <c r="AM44" s="164"/>
      <c r="BE44" s="164"/>
      <c r="CO44" s="66"/>
      <c r="DV44" s="67"/>
      <c r="DW44" s="67"/>
      <c r="DX44" s="67"/>
      <c r="FE44" s="68"/>
      <c r="FK44" s="111"/>
      <c r="FL44" s="111"/>
      <c r="FU44" s="111"/>
      <c r="FX44" s="66"/>
      <c r="GO44" s="66"/>
    </row>
    <row r="45" spans="2:197" s="11" customFormat="1" ht="15.75">
      <c r="B45" s="1"/>
      <c r="C45" s="164"/>
      <c r="U45" s="164"/>
      <c r="AM45" s="164"/>
      <c r="BE45" s="164"/>
      <c r="CO45" s="66"/>
      <c r="DV45" s="67"/>
      <c r="DW45" s="67"/>
      <c r="DX45" s="67"/>
      <c r="FE45" s="68"/>
      <c r="FK45" s="111"/>
      <c r="FL45" s="111"/>
      <c r="FU45" s="111"/>
      <c r="FX45" s="66"/>
      <c r="GO45" s="66"/>
    </row>
    <row r="46" spans="2:197" s="11" customFormat="1" ht="12">
      <c r="B46" s="58"/>
      <c r="C46" s="164"/>
      <c r="U46" s="164"/>
      <c r="AM46" s="164"/>
      <c r="BE46" s="164"/>
      <c r="CO46" s="66"/>
      <c r="DV46" s="67"/>
      <c r="DW46" s="67"/>
      <c r="DX46" s="67"/>
      <c r="ER46" s="66"/>
      <c r="FE46" s="68"/>
      <c r="FK46" s="111"/>
      <c r="FL46" s="111"/>
      <c r="FU46" s="111"/>
      <c r="FX46" s="66"/>
      <c r="GO46" s="66"/>
    </row>
    <row r="47" spans="1:197" s="88" customFormat="1" ht="12.75">
      <c r="A47" s="69"/>
      <c r="C47" s="74"/>
      <c r="D47" s="70"/>
      <c r="E47" s="70"/>
      <c r="F47" s="70"/>
      <c r="G47" s="70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9"/>
      <c r="V47" s="71"/>
      <c r="W47" s="70"/>
      <c r="X47" s="70"/>
      <c r="Y47" s="70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74"/>
      <c r="AN47" s="70"/>
      <c r="AO47" s="70"/>
      <c r="AP47" s="70"/>
      <c r="AQ47" s="70"/>
      <c r="AR47" s="72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74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17"/>
      <c r="BW47" s="14"/>
      <c r="BX47" s="72"/>
      <c r="BY47" s="72"/>
      <c r="BZ47" s="72"/>
      <c r="CA47" s="72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73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4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H47" s="17"/>
      <c r="FI47" s="17"/>
      <c r="FJ47" s="17"/>
      <c r="FK47" s="112"/>
      <c r="FL47" s="112"/>
      <c r="FM47" s="17"/>
      <c r="FN47" s="17"/>
      <c r="FP47" s="17"/>
      <c r="FQ47" s="17"/>
      <c r="FR47" s="17"/>
      <c r="FS47" s="17"/>
      <c r="FT47" s="17"/>
      <c r="FU47" s="112"/>
      <c r="FV47" s="17"/>
      <c r="FX47" s="96"/>
      <c r="GO47" s="96"/>
    </row>
    <row r="48" spans="3:197" s="14" customFormat="1" ht="12.75">
      <c r="C48" s="74"/>
      <c r="U48" s="74"/>
      <c r="AM48" s="74"/>
      <c r="BE48" s="74"/>
      <c r="BW48" s="73"/>
      <c r="CO48" s="73"/>
      <c r="DG48" s="73"/>
      <c r="EC48" s="74"/>
      <c r="ED48" s="74"/>
      <c r="EE48" s="74"/>
      <c r="EF48" s="74"/>
      <c r="EG48" s="74"/>
      <c r="EH48" s="74"/>
      <c r="EI48" s="74"/>
      <c r="EJ48" s="74"/>
      <c r="EK48" s="74"/>
      <c r="EL48" s="74"/>
      <c r="EM48" s="74"/>
      <c r="EN48" s="74"/>
      <c r="EO48" s="73"/>
      <c r="EP48" s="73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5"/>
      <c r="FG48" s="73"/>
      <c r="FK48" s="113"/>
      <c r="FL48" s="113"/>
      <c r="FU48" s="113"/>
      <c r="FX48" s="73"/>
      <c r="GO48" s="73"/>
    </row>
    <row r="49" spans="3:197" s="3" customFormat="1" ht="12">
      <c r="C49" s="176"/>
      <c r="U49" s="176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173"/>
      <c r="BE49" s="176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W49" s="93"/>
      <c r="CO49" s="93"/>
      <c r="DG49" s="43"/>
      <c r="EO49" s="93"/>
      <c r="EP49" s="93"/>
      <c r="FE49" s="94"/>
      <c r="FK49" s="43"/>
      <c r="FL49" s="43"/>
      <c r="FU49" s="43"/>
      <c r="FX49" s="96"/>
      <c r="GO49" s="96"/>
    </row>
    <row r="50" spans="3:197" s="88" customFormat="1" ht="12">
      <c r="C50" s="172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172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172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172"/>
      <c r="BF50" s="79"/>
      <c r="BH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89"/>
      <c r="BY50" s="79"/>
      <c r="CA50" s="79"/>
      <c r="CE50" s="79"/>
      <c r="CF50" s="79"/>
      <c r="CG50" s="79"/>
      <c r="CL50" s="79"/>
      <c r="CO50" s="89"/>
      <c r="CP50" s="79"/>
      <c r="CQ50" s="79"/>
      <c r="CR50" s="79"/>
      <c r="CS50" s="79"/>
      <c r="CV50" s="79"/>
      <c r="CX50" s="79"/>
      <c r="CZ50" s="79"/>
      <c r="DB50" s="79"/>
      <c r="DC50" s="79"/>
      <c r="DG50" s="89"/>
      <c r="DH50" s="79"/>
      <c r="DI50" s="79"/>
      <c r="DJ50" s="79"/>
      <c r="DK50" s="79"/>
      <c r="DL50" s="79"/>
      <c r="DM50" s="79"/>
      <c r="DN50" s="79"/>
      <c r="DO50" s="79"/>
      <c r="DP50" s="79"/>
      <c r="DQ50" s="79"/>
      <c r="DR50" s="79"/>
      <c r="DS50" s="79"/>
      <c r="DT50" s="79"/>
      <c r="DU50" s="79"/>
      <c r="DV50" s="79"/>
      <c r="DW50" s="79"/>
      <c r="DX50" s="79"/>
      <c r="DZ50" s="79"/>
      <c r="EB50" s="79"/>
      <c r="EC50" s="90"/>
      <c r="ED50" s="90"/>
      <c r="EE50" s="90"/>
      <c r="EF50" s="90"/>
      <c r="EG50" s="90"/>
      <c r="EH50" s="90"/>
      <c r="EM50" s="79"/>
      <c r="EN50" s="56"/>
      <c r="EO50" s="76"/>
      <c r="EP50" s="76"/>
      <c r="EU50" s="90"/>
      <c r="EV50" s="90"/>
      <c r="EW50" s="90"/>
      <c r="EX50" s="90"/>
      <c r="EY50" s="90"/>
      <c r="FE50" s="92"/>
      <c r="FF50" s="96"/>
      <c r="FK50" s="79"/>
      <c r="FL50" s="79"/>
      <c r="FU50" s="79"/>
      <c r="FX50" s="96"/>
      <c r="GO50" s="96"/>
    </row>
    <row r="51" spans="3:197" s="3" customFormat="1" ht="12">
      <c r="C51" s="172"/>
      <c r="D51" s="24"/>
      <c r="E51" s="79"/>
      <c r="F51" s="79"/>
      <c r="G51" s="24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172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173"/>
      <c r="BE51" s="172"/>
      <c r="BF51" s="79"/>
      <c r="BG51" s="79"/>
      <c r="BH51" s="79"/>
      <c r="BI51" s="79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8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O51" s="89"/>
      <c r="CP51" s="79"/>
      <c r="CQ51" s="79"/>
      <c r="CR51" s="79"/>
      <c r="CS51" s="79"/>
      <c r="CX51" s="88"/>
      <c r="CZ51" s="89"/>
      <c r="DA51" s="89"/>
      <c r="DG51" s="89"/>
      <c r="DH51" s="79"/>
      <c r="DI51" s="79"/>
      <c r="DJ51" s="79"/>
      <c r="DK51" s="79"/>
      <c r="DL51" s="43"/>
      <c r="DM51" s="77"/>
      <c r="DN51" s="79"/>
      <c r="DO51" s="43"/>
      <c r="DP51" s="43"/>
      <c r="DQ51" s="43"/>
      <c r="DR51" s="43"/>
      <c r="DS51" s="78"/>
      <c r="DT51" s="78"/>
      <c r="DV51" s="78"/>
      <c r="DW51" s="78"/>
      <c r="DX51" s="78"/>
      <c r="DY51" s="88"/>
      <c r="DZ51" s="88"/>
      <c r="EA51" s="88"/>
      <c r="EB51" s="88"/>
      <c r="EC51" s="90"/>
      <c r="ED51" s="90"/>
      <c r="EE51" s="90"/>
      <c r="EF51" s="90"/>
      <c r="EG51" s="90"/>
      <c r="EH51" s="88"/>
      <c r="EI51" s="88"/>
      <c r="EJ51" s="88"/>
      <c r="EK51" s="88"/>
      <c r="EL51" s="88"/>
      <c r="EM51" s="88"/>
      <c r="EN51" s="88"/>
      <c r="EO51" s="76"/>
      <c r="EP51" s="76"/>
      <c r="EQ51" s="88"/>
      <c r="ER51" s="88"/>
      <c r="ES51" s="88"/>
      <c r="ET51" s="88"/>
      <c r="EU51" s="88"/>
      <c r="EV51" s="88"/>
      <c r="EW51" s="88"/>
      <c r="EX51" s="88"/>
      <c r="EY51" s="88"/>
      <c r="EZ51" s="88"/>
      <c r="FA51" s="88"/>
      <c r="FB51" s="88"/>
      <c r="FC51" s="88"/>
      <c r="FD51" s="88"/>
      <c r="FE51" s="88"/>
      <c r="FF51" s="96"/>
      <c r="FK51" s="43"/>
      <c r="FL51" s="43"/>
      <c r="FU51" s="43"/>
      <c r="FX51" s="96"/>
      <c r="GO51" s="96"/>
    </row>
    <row r="52" spans="3:197" s="88" customFormat="1" ht="12">
      <c r="C52" s="172"/>
      <c r="D52" s="24"/>
      <c r="E52" s="79"/>
      <c r="F52" s="79"/>
      <c r="G52" s="24"/>
      <c r="H52" s="79"/>
      <c r="I52" s="79"/>
      <c r="J52" s="79"/>
      <c r="K52" s="24"/>
      <c r="L52" s="79"/>
      <c r="M52" s="79"/>
      <c r="N52" s="79"/>
      <c r="O52" s="79"/>
      <c r="P52" s="24"/>
      <c r="Q52" s="79"/>
      <c r="R52" s="79"/>
      <c r="S52" s="79"/>
      <c r="T52" s="79"/>
      <c r="U52" s="172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172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172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89"/>
      <c r="BY52" s="79"/>
      <c r="CA52" s="79"/>
      <c r="CG52" s="79"/>
      <c r="CK52" s="79"/>
      <c r="CL52" s="79"/>
      <c r="CO52" s="89"/>
      <c r="CP52" s="79"/>
      <c r="CQ52" s="79"/>
      <c r="CR52" s="79"/>
      <c r="CS52" s="79"/>
      <c r="CT52" s="79"/>
      <c r="CU52" s="79"/>
      <c r="CW52" s="79"/>
      <c r="CY52" s="79"/>
      <c r="CZ52" s="79"/>
      <c r="DB52" s="79"/>
      <c r="DC52" s="79"/>
      <c r="DG52" s="89"/>
      <c r="DH52" s="79"/>
      <c r="DI52" s="79"/>
      <c r="DJ52" s="79"/>
      <c r="DK52" s="79"/>
      <c r="DL52" s="52"/>
      <c r="DM52" s="52"/>
      <c r="DN52" s="52"/>
      <c r="DO52" s="79"/>
      <c r="DP52" s="79"/>
      <c r="DQ52" s="79"/>
      <c r="DR52" s="79"/>
      <c r="DS52" s="34"/>
      <c r="DT52" s="34"/>
      <c r="DU52" s="79"/>
      <c r="DV52" s="80"/>
      <c r="DW52" s="80"/>
      <c r="DX52" s="80"/>
      <c r="DZ52" s="79"/>
      <c r="EC52" s="90"/>
      <c r="ED52" s="90"/>
      <c r="EE52" s="90"/>
      <c r="EF52" s="90"/>
      <c r="EG52" s="90"/>
      <c r="EN52" s="81"/>
      <c r="EO52" s="76"/>
      <c r="EP52" s="76"/>
      <c r="EU52" s="90"/>
      <c r="EV52" s="90"/>
      <c r="EW52" s="90"/>
      <c r="EX52" s="90"/>
      <c r="EY52" s="90"/>
      <c r="FE52" s="92"/>
      <c r="FF52" s="96"/>
      <c r="FK52" s="79"/>
      <c r="FL52" s="79"/>
      <c r="FU52" s="79"/>
      <c r="FX52" s="96"/>
      <c r="GO52" s="96"/>
    </row>
    <row r="53" spans="3:197" s="3" customFormat="1" ht="12">
      <c r="C53" s="176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176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176"/>
      <c r="BE53" s="176"/>
      <c r="BF53" s="43"/>
      <c r="BG53" s="43"/>
      <c r="BH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Y53" s="43"/>
      <c r="CA53" s="43"/>
      <c r="CJ53" s="43"/>
      <c r="CL53" s="43"/>
      <c r="CO53" s="97"/>
      <c r="CP53" s="98"/>
      <c r="CQ53" s="98"/>
      <c r="CR53" s="98"/>
      <c r="CS53" s="98"/>
      <c r="CZ53" s="43"/>
      <c r="DG53" s="95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Z53" s="43"/>
      <c r="EL53" s="86"/>
      <c r="EN53" s="82"/>
      <c r="EO53" s="83"/>
      <c r="EP53" s="83"/>
      <c r="EQ53" s="88"/>
      <c r="ER53" s="88"/>
      <c r="ES53" s="88"/>
      <c r="ET53" s="88"/>
      <c r="EZ53" s="99"/>
      <c r="FB53" s="99"/>
      <c r="FC53" s="99"/>
      <c r="FD53" s="99"/>
      <c r="FE53" s="100"/>
      <c r="FF53" s="96"/>
      <c r="FK53" s="43"/>
      <c r="FL53" s="43"/>
      <c r="FX53" s="96"/>
      <c r="GO53" s="96"/>
    </row>
    <row r="54" spans="3:197" s="3" customFormat="1" ht="12">
      <c r="C54" s="176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176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176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176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79"/>
      <c r="BY54" s="43"/>
      <c r="CA54" s="43"/>
      <c r="CL54" s="43"/>
      <c r="CO54" s="97"/>
      <c r="CP54" s="98"/>
      <c r="CQ54" s="98"/>
      <c r="CR54" s="98"/>
      <c r="CS54" s="98"/>
      <c r="CU54" s="43"/>
      <c r="CV54" s="43"/>
      <c r="CZ54" s="43"/>
      <c r="DD54" s="43"/>
      <c r="DG54" s="95"/>
      <c r="DH54" s="43"/>
      <c r="DI54" s="43"/>
      <c r="DJ54" s="43"/>
      <c r="DK54" s="43"/>
      <c r="DL54" s="26"/>
      <c r="DM54" s="26"/>
      <c r="DN54" s="43"/>
      <c r="DO54" s="43"/>
      <c r="DP54" s="43"/>
      <c r="DQ54" s="43"/>
      <c r="DR54" s="43"/>
      <c r="DS54" s="43"/>
      <c r="DT54" s="43"/>
      <c r="DU54" s="43"/>
      <c r="DZ54" s="43"/>
      <c r="EH54" s="88"/>
      <c r="EL54" s="86"/>
      <c r="EN54" s="86"/>
      <c r="EO54" s="76"/>
      <c r="EP54" s="76"/>
      <c r="EQ54" s="88"/>
      <c r="ER54" s="88"/>
      <c r="ES54" s="88"/>
      <c r="ET54" s="88"/>
      <c r="EZ54" s="99"/>
      <c r="FB54" s="99"/>
      <c r="FC54" s="99"/>
      <c r="FD54" s="99"/>
      <c r="FE54" s="100"/>
      <c r="FF54" s="96"/>
      <c r="FK54" s="43"/>
      <c r="FL54" s="43"/>
      <c r="FX54" s="96"/>
      <c r="GO54" s="96"/>
    </row>
    <row r="55" spans="3:197" s="3" customFormat="1" ht="12">
      <c r="C55" s="176"/>
      <c r="D55" s="43"/>
      <c r="E55" s="43"/>
      <c r="F55" s="43"/>
      <c r="G55" s="43"/>
      <c r="H55" s="43"/>
      <c r="I55" s="43"/>
      <c r="J55" s="43"/>
      <c r="K55" s="26"/>
      <c r="L55" s="43"/>
      <c r="M55" s="43"/>
      <c r="N55" s="43"/>
      <c r="O55" s="43"/>
      <c r="P55" s="26"/>
      <c r="Q55" s="43"/>
      <c r="R55" s="43"/>
      <c r="S55" s="43"/>
      <c r="T55" s="43"/>
      <c r="U55" s="176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176"/>
      <c r="BE55" s="176"/>
      <c r="BF55" s="43"/>
      <c r="BG55" s="43"/>
      <c r="BH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Y55" s="43"/>
      <c r="CA55" s="43"/>
      <c r="CC55" s="43"/>
      <c r="CL55" s="43"/>
      <c r="CO55" s="97"/>
      <c r="CP55" s="98"/>
      <c r="CQ55" s="98"/>
      <c r="CR55" s="98"/>
      <c r="CS55" s="98"/>
      <c r="CW55" s="43"/>
      <c r="CX55" s="43"/>
      <c r="CY55" s="43"/>
      <c r="DB55" s="43"/>
      <c r="DG55" s="95"/>
      <c r="DH55" s="43"/>
      <c r="DI55" s="43"/>
      <c r="DJ55" s="43"/>
      <c r="DK55" s="43"/>
      <c r="DL55" s="26"/>
      <c r="DM55" s="26"/>
      <c r="DN55" s="43"/>
      <c r="DO55" s="43"/>
      <c r="DP55" s="43"/>
      <c r="DQ55" s="43"/>
      <c r="DR55" s="43"/>
      <c r="DS55" s="43"/>
      <c r="DT55" s="43"/>
      <c r="DU55" s="43"/>
      <c r="DW55" s="43"/>
      <c r="DX55" s="43"/>
      <c r="DY55" s="43"/>
      <c r="DZ55" s="43"/>
      <c r="EI55" s="43"/>
      <c r="EJ55" s="43"/>
      <c r="EL55" s="101"/>
      <c r="EN55" s="30"/>
      <c r="EO55" s="83"/>
      <c r="EP55" s="83"/>
      <c r="EQ55" s="88"/>
      <c r="ER55" s="88"/>
      <c r="ES55" s="88"/>
      <c r="ET55" s="88"/>
      <c r="EZ55" s="99"/>
      <c r="FB55" s="99"/>
      <c r="FC55" s="99"/>
      <c r="FD55" s="99"/>
      <c r="FE55" s="100"/>
      <c r="FF55" s="96"/>
      <c r="FK55" s="43"/>
      <c r="FL55" s="43"/>
      <c r="FX55" s="96"/>
      <c r="GO55" s="96"/>
    </row>
    <row r="56" spans="2:197" s="3" customFormat="1" ht="12">
      <c r="B56" s="43"/>
      <c r="C56" s="176"/>
      <c r="D56" s="43"/>
      <c r="E56" s="43"/>
      <c r="F56" s="43"/>
      <c r="G56" s="43"/>
      <c r="H56" s="43"/>
      <c r="I56" s="43"/>
      <c r="J56" s="43"/>
      <c r="K56" s="26"/>
      <c r="L56" s="43"/>
      <c r="M56" s="43"/>
      <c r="N56" s="43"/>
      <c r="O56" s="43"/>
      <c r="P56" s="26"/>
      <c r="Q56" s="43"/>
      <c r="R56" s="43"/>
      <c r="S56" s="43"/>
      <c r="T56" s="43"/>
      <c r="U56" s="172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176"/>
      <c r="BE56" s="176"/>
      <c r="BF56" s="43"/>
      <c r="BG56" s="43"/>
      <c r="BH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Y56" s="43"/>
      <c r="CA56" s="43"/>
      <c r="CC56" s="43"/>
      <c r="CL56" s="43"/>
      <c r="CO56" s="97"/>
      <c r="CP56" s="79"/>
      <c r="CQ56" s="79"/>
      <c r="CR56" s="79"/>
      <c r="CS56" s="79"/>
      <c r="CW56" s="43"/>
      <c r="CX56" s="43"/>
      <c r="CY56" s="43"/>
      <c r="DB56" s="43"/>
      <c r="DG56" s="95"/>
      <c r="DH56" s="79"/>
      <c r="DI56" s="43"/>
      <c r="DJ56" s="79"/>
      <c r="DK56" s="79"/>
      <c r="DL56" s="26"/>
      <c r="DM56" s="26"/>
      <c r="DN56" s="43"/>
      <c r="DO56" s="43"/>
      <c r="DP56" s="43"/>
      <c r="DQ56" s="43"/>
      <c r="DR56" s="43"/>
      <c r="DS56" s="43"/>
      <c r="DT56" s="43"/>
      <c r="DU56" s="43"/>
      <c r="DY56" s="43"/>
      <c r="DZ56" s="43"/>
      <c r="EA56" s="43"/>
      <c r="EB56" s="43"/>
      <c r="EH56" s="43"/>
      <c r="EI56" s="43"/>
      <c r="EJ56" s="43"/>
      <c r="EK56" s="43"/>
      <c r="EL56" s="43"/>
      <c r="EM56" s="43"/>
      <c r="EN56" s="43"/>
      <c r="EO56" s="76"/>
      <c r="EP56" s="76"/>
      <c r="EQ56" s="88"/>
      <c r="ER56" s="88"/>
      <c r="ES56" s="88"/>
      <c r="ET56" s="88"/>
      <c r="EZ56" s="88"/>
      <c r="FB56" s="88"/>
      <c r="FC56" s="88"/>
      <c r="FD56" s="88"/>
      <c r="FE56" s="92"/>
      <c r="FF56" s="96"/>
      <c r="FK56" s="43"/>
      <c r="FL56" s="43"/>
      <c r="FX56" s="96"/>
      <c r="GO56" s="96"/>
    </row>
    <row r="57" spans="3:197" s="3" customFormat="1" ht="12">
      <c r="C57" s="176"/>
      <c r="D57" s="43"/>
      <c r="E57" s="43"/>
      <c r="F57" s="43"/>
      <c r="G57" s="43"/>
      <c r="H57" s="43"/>
      <c r="I57" s="43"/>
      <c r="J57" s="43"/>
      <c r="K57" s="26"/>
      <c r="L57" s="43"/>
      <c r="M57" s="43"/>
      <c r="N57" s="43"/>
      <c r="O57" s="43"/>
      <c r="P57" s="26"/>
      <c r="Q57" s="43"/>
      <c r="R57" s="43"/>
      <c r="S57" s="43"/>
      <c r="T57" s="43"/>
      <c r="U57" s="172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176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E57" s="176"/>
      <c r="BF57" s="43"/>
      <c r="BG57" s="43"/>
      <c r="BH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Y57" s="43"/>
      <c r="CA57" s="43"/>
      <c r="CC57" s="43"/>
      <c r="CL57" s="43"/>
      <c r="CO57" s="89"/>
      <c r="CP57" s="79"/>
      <c r="CQ57" s="79"/>
      <c r="CR57" s="79"/>
      <c r="CS57" s="79"/>
      <c r="CW57" s="43"/>
      <c r="CX57" s="43"/>
      <c r="CY57" s="43"/>
      <c r="DB57" s="43"/>
      <c r="DG57" s="95"/>
      <c r="DH57" s="79"/>
      <c r="DI57" s="79"/>
      <c r="DJ57" s="79"/>
      <c r="DK57" s="79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Z57" s="43"/>
      <c r="EN57" s="29"/>
      <c r="EO57" s="76"/>
      <c r="EP57" s="76"/>
      <c r="EQ57" s="88"/>
      <c r="ER57" s="88"/>
      <c r="ES57" s="88"/>
      <c r="ET57" s="88"/>
      <c r="EZ57" s="88"/>
      <c r="FB57" s="88"/>
      <c r="FC57" s="88"/>
      <c r="FD57" s="88"/>
      <c r="FE57" s="92"/>
      <c r="FF57" s="96"/>
      <c r="FK57" s="121"/>
      <c r="FL57" s="121"/>
      <c r="FX57" s="96"/>
      <c r="GO57" s="96"/>
    </row>
    <row r="58" spans="1:197" s="88" customFormat="1" ht="12">
      <c r="A58" s="102"/>
      <c r="B58" s="102"/>
      <c r="C58" s="172"/>
      <c r="D58" s="24"/>
      <c r="E58" s="79"/>
      <c r="F58" s="79"/>
      <c r="G58" s="24"/>
      <c r="H58" s="79"/>
      <c r="I58" s="79"/>
      <c r="J58" s="79"/>
      <c r="K58" s="24"/>
      <c r="L58" s="79"/>
      <c r="M58" s="79"/>
      <c r="N58" s="79"/>
      <c r="O58" s="79"/>
      <c r="P58" s="24"/>
      <c r="Q58" s="79"/>
      <c r="R58" s="79"/>
      <c r="S58" s="79"/>
      <c r="T58" s="79"/>
      <c r="U58" s="172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172"/>
      <c r="AR58" s="79"/>
      <c r="AY58" s="79"/>
      <c r="BC58" s="79"/>
      <c r="BD58" s="79"/>
      <c r="BE58" s="172"/>
      <c r="BF58" s="79"/>
      <c r="BG58" s="79"/>
      <c r="BH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89"/>
      <c r="BX58" s="79"/>
      <c r="BY58" s="79"/>
      <c r="CA58" s="79"/>
      <c r="CG58" s="79"/>
      <c r="CL58" s="79"/>
      <c r="CO58" s="89"/>
      <c r="CP58" s="79"/>
      <c r="CQ58" s="79"/>
      <c r="CR58" s="79"/>
      <c r="CS58" s="79"/>
      <c r="CU58" s="79"/>
      <c r="CW58" s="79"/>
      <c r="CY58" s="79"/>
      <c r="DG58" s="89"/>
      <c r="DH58" s="79"/>
      <c r="DI58" s="79"/>
      <c r="DJ58" s="79"/>
      <c r="DK58" s="79"/>
      <c r="DL58" s="24"/>
      <c r="DM58" s="24"/>
      <c r="DN58" s="79"/>
      <c r="DO58" s="79"/>
      <c r="DP58" s="79"/>
      <c r="DQ58" s="79"/>
      <c r="DR58" s="79"/>
      <c r="DS58" s="79"/>
      <c r="DT58" s="79"/>
      <c r="DU58" s="79"/>
      <c r="DV58" s="34"/>
      <c r="DW58" s="80"/>
      <c r="DX58" s="80"/>
      <c r="DZ58" s="79"/>
      <c r="EC58" s="90"/>
      <c r="ED58" s="90"/>
      <c r="EE58" s="90"/>
      <c r="EF58" s="90"/>
      <c r="EG58" s="90"/>
      <c r="EN58" s="81"/>
      <c r="EO58" s="76"/>
      <c r="EP58" s="76"/>
      <c r="EU58" s="90"/>
      <c r="EV58" s="90"/>
      <c r="EW58" s="90"/>
      <c r="EX58" s="90"/>
      <c r="EY58" s="90"/>
      <c r="EZ58" s="79"/>
      <c r="FE58" s="92"/>
      <c r="FF58" s="96"/>
      <c r="FK58" s="120"/>
      <c r="FL58" s="120"/>
      <c r="FX58" s="96"/>
      <c r="GO58" s="96"/>
    </row>
    <row r="59" spans="1:197" s="3" customFormat="1" ht="12">
      <c r="A59" s="103"/>
      <c r="B59" s="103"/>
      <c r="C59" s="172"/>
      <c r="D59" s="26"/>
      <c r="E59" s="43"/>
      <c r="F59" s="43"/>
      <c r="G59" s="26"/>
      <c r="H59" s="43"/>
      <c r="I59" s="43"/>
      <c r="J59" s="43"/>
      <c r="K59" s="26"/>
      <c r="L59" s="26"/>
      <c r="M59" s="43"/>
      <c r="N59" s="43"/>
      <c r="O59" s="43"/>
      <c r="P59" s="26"/>
      <c r="Q59" s="43"/>
      <c r="R59" s="43"/>
      <c r="S59" s="43"/>
      <c r="T59" s="43"/>
      <c r="U59" s="172"/>
      <c r="V59" s="79"/>
      <c r="W59" s="79"/>
      <c r="X59" s="79"/>
      <c r="Y59" s="79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176"/>
      <c r="AN59" s="43"/>
      <c r="AO59" s="43"/>
      <c r="AP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E59" s="172"/>
      <c r="BF59" s="43"/>
      <c r="BG59" s="43"/>
      <c r="BH59" s="43"/>
      <c r="BI59" s="88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79"/>
      <c r="BY59" s="43"/>
      <c r="CA59" s="43"/>
      <c r="CH59" s="88"/>
      <c r="CK59" s="88"/>
      <c r="CL59" s="79"/>
      <c r="CO59" s="89"/>
      <c r="CP59" s="79"/>
      <c r="CQ59" s="79"/>
      <c r="CR59" s="79"/>
      <c r="CS59" s="79"/>
      <c r="CT59" s="88"/>
      <c r="CU59" s="88"/>
      <c r="CV59" s="88"/>
      <c r="CW59" s="79"/>
      <c r="CX59" s="79"/>
      <c r="CY59" s="88"/>
      <c r="CZ59" s="88"/>
      <c r="DA59" s="88"/>
      <c r="DB59" s="88"/>
      <c r="DC59" s="88"/>
      <c r="DD59" s="79"/>
      <c r="DE59" s="88"/>
      <c r="DF59" s="88"/>
      <c r="DG59" s="89"/>
      <c r="DH59" s="79"/>
      <c r="DI59" s="79"/>
      <c r="DJ59" s="79"/>
      <c r="DK59" s="79"/>
      <c r="DL59" s="26"/>
      <c r="DM59" s="26"/>
      <c r="DN59" s="43"/>
      <c r="DO59" s="43"/>
      <c r="DP59" s="43"/>
      <c r="DQ59" s="43"/>
      <c r="DR59" s="43"/>
      <c r="DS59" s="43"/>
      <c r="DT59" s="43"/>
      <c r="DU59" s="43"/>
      <c r="DY59" s="88"/>
      <c r="DZ59" s="79"/>
      <c r="EA59" s="88"/>
      <c r="EB59" s="88"/>
      <c r="EH59" s="88"/>
      <c r="EI59" s="88"/>
      <c r="EO59" s="76"/>
      <c r="EP59" s="76"/>
      <c r="EQ59" s="96"/>
      <c r="ER59" s="96"/>
      <c r="ES59" s="96"/>
      <c r="ET59" s="96"/>
      <c r="EU59" s="93"/>
      <c r="EV59" s="93"/>
      <c r="EW59" s="93"/>
      <c r="EX59" s="93"/>
      <c r="EY59" s="93"/>
      <c r="EZ59" s="93"/>
      <c r="FA59" s="93"/>
      <c r="FB59" s="93"/>
      <c r="FC59" s="93"/>
      <c r="FD59" s="93"/>
      <c r="FE59" s="93"/>
      <c r="FF59" s="96"/>
      <c r="FK59" s="121"/>
      <c r="FL59" s="121"/>
      <c r="FX59" s="96"/>
      <c r="GO59" s="96"/>
    </row>
    <row r="60" spans="1:197" s="3" customFormat="1" ht="12">
      <c r="A60" s="104"/>
      <c r="B60" s="104"/>
      <c r="C60" s="176"/>
      <c r="D60" s="26"/>
      <c r="E60" s="43"/>
      <c r="F60" s="43"/>
      <c r="G60" s="26"/>
      <c r="H60" s="43"/>
      <c r="I60" s="43"/>
      <c r="J60" s="43"/>
      <c r="K60" s="26"/>
      <c r="L60" s="26"/>
      <c r="M60" s="43"/>
      <c r="N60" s="43"/>
      <c r="O60" s="43"/>
      <c r="P60" s="26"/>
      <c r="Q60" s="43"/>
      <c r="R60" s="43"/>
      <c r="S60" s="43"/>
      <c r="T60" s="43"/>
      <c r="U60" s="176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176"/>
      <c r="AW60" s="43"/>
      <c r="BE60" s="176"/>
      <c r="BF60" s="43"/>
      <c r="BG60" s="43"/>
      <c r="BH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Y60" s="43"/>
      <c r="CA60" s="43"/>
      <c r="CL60" s="43"/>
      <c r="CO60" s="97"/>
      <c r="CP60" s="98"/>
      <c r="CQ60" s="98"/>
      <c r="CR60" s="98"/>
      <c r="CS60" s="98"/>
      <c r="DG60" s="95"/>
      <c r="DH60" s="43"/>
      <c r="DI60" s="43"/>
      <c r="DJ60" s="43"/>
      <c r="DK60" s="43"/>
      <c r="DL60" s="26"/>
      <c r="DM60" s="26"/>
      <c r="DN60" s="43"/>
      <c r="DO60" s="43"/>
      <c r="DP60" s="43"/>
      <c r="DQ60" s="43"/>
      <c r="DR60" s="43"/>
      <c r="DS60" s="43"/>
      <c r="DT60" s="43"/>
      <c r="DU60" s="43"/>
      <c r="DW60" s="43"/>
      <c r="DX60" s="43"/>
      <c r="DZ60" s="43"/>
      <c r="EF60" s="43"/>
      <c r="EH60" s="43"/>
      <c r="EO60" s="84"/>
      <c r="EP60" s="84"/>
      <c r="EQ60" s="88"/>
      <c r="ER60" s="88"/>
      <c r="ES60" s="88"/>
      <c r="ET60" s="88"/>
      <c r="EZ60" s="99"/>
      <c r="FB60" s="99"/>
      <c r="FC60" s="99"/>
      <c r="FD60" s="99"/>
      <c r="FE60" s="100"/>
      <c r="FF60" s="96"/>
      <c r="FK60" s="121"/>
      <c r="FL60" s="121"/>
      <c r="FX60" s="96"/>
      <c r="GO60" s="96"/>
    </row>
    <row r="61" spans="3:197" s="3" customFormat="1" ht="12">
      <c r="C61" s="176"/>
      <c r="D61" s="26"/>
      <c r="E61" s="43"/>
      <c r="F61" s="43"/>
      <c r="G61" s="26"/>
      <c r="H61" s="43"/>
      <c r="I61" s="43"/>
      <c r="J61" s="43"/>
      <c r="K61" s="26"/>
      <c r="L61" s="26"/>
      <c r="M61" s="43"/>
      <c r="N61" s="43"/>
      <c r="O61" s="43"/>
      <c r="P61" s="26"/>
      <c r="Q61" s="43"/>
      <c r="R61" s="43"/>
      <c r="S61" s="43"/>
      <c r="T61" s="43"/>
      <c r="U61" s="176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176"/>
      <c r="BB61" s="43"/>
      <c r="BE61" s="176"/>
      <c r="BF61" s="43"/>
      <c r="BG61" s="43"/>
      <c r="BH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Y61" s="43"/>
      <c r="CA61" s="43"/>
      <c r="CB61" s="43"/>
      <c r="CG61" s="43"/>
      <c r="CL61" s="43"/>
      <c r="CN61" s="43"/>
      <c r="CO61" s="97"/>
      <c r="CP61" s="98"/>
      <c r="CQ61" s="98"/>
      <c r="CR61" s="98"/>
      <c r="CS61" s="98"/>
      <c r="CU61" s="43"/>
      <c r="CV61" s="105"/>
      <c r="CX61" s="43"/>
      <c r="CY61" s="43"/>
      <c r="DC61" s="43"/>
      <c r="DG61" s="95"/>
      <c r="DH61" s="43"/>
      <c r="DI61" s="43"/>
      <c r="DJ61" s="43"/>
      <c r="DK61" s="43"/>
      <c r="DL61" s="26"/>
      <c r="DM61" s="26"/>
      <c r="DN61" s="43"/>
      <c r="DO61" s="43"/>
      <c r="DP61" s="43"/>
      <c r="DQ61" s="43"/>
      <c r="DR61" s="43"/>
      <c r="DY61" s="43"/>
      <c r="DZ61" s="43"/>
      <c r="EF61" s="43"/>
      <c r="EH61" s="43"/>
      <c r="EO61" s="85"/>
      <c r="EP61" s="85"/>
      <c r="EQ61" s="88"/>
      <c r="ER61" s="88"/>
      <c r="ES61" s="88"/>
      <c r="ET61" s="88"/>
      <c r="EZ61" s="99"/>
      <c r="FB61" s="99"/>
      <c r="FC61" s="99"/>
      <c r="FD61" s="99"/>
      <c r="FE61" s="100"/>
      <c r="FF61" s="96"/>
      <c r="FK61" s="121"/>
      <c r="FL61" s="121"/>
      <c r="FX61" s="96"/>
      <c r="GO61" s="96"/>
    </row>
    <row r="62" spans="1:197" s="3" customFormat="1" ht="12">
      <c r="A62" s="103"/>
      <c r="B62" s="103"/>
      <c r="C62" s="176"/>
      <c r="D62" s="26"/>
      <c r="E62" s="43"/>
      <c r="F62" s="43"/>
      <c r="G62" s="26"/>
      <c r="H62" s="43"/>
      <c r="I62" s="43"/>
      <c r="J62" s="43"/>
      <c r="K62" s="26"/>
      <c r="L62" s="26"/>
      <c r="M62" s="43"/>
      <c r="N62" s="43"/>
      <c r="O62" s="43"/>
      <c r="P62" s="26"/>
      <c r="Q62" s="43"/>
      <c r="R62" s="43"/>
      <c r="S62" s="43"/>
      <c r="T62" s="43"/>
      <c r="U62" s="176"/>
      <c r="V62" s="43"/>
      <c r="W62" s="43"/>
      <c r="X62" s="43"/>
      <c r="Y62" s="43"/>
      <c r="AC62" s="43"/>
      <c r="AD62" s="43"/>
      <c r="AE62" s="43"/>
      <c r="AF62" s="43"/>
      <c r="AG62" s="43"/>
      <c r="AH62" s="43"/>
      <c r="AM62" s="176"/>
      <c r="BE62" s="176"/>
      <c r="BF62" s="43"/>
      <c r="BG62" s="43"/>
      <c r="BH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Y62" s="43"/>
      <c r="CA62" s="43"/>
      <c r="CL62" s="43"/>
      <c r="CN62" s="43"/>
      <c r="CO62" s="97"/>
      <c r="CP62" s="98"/>
      <c r="CQ62" s="98"/>
      <c r="CR62" s="98"/>
      <c r="CS62" s="98"/>
      <c r="DG62" s="95"/>
      <c r="DH62" s="43"/>
      <c r="DI62" s="43"/>
      <c r="DJ62" s="43"/>
      <c r="DK62" s="43"/>
      <c r="DL62" s="26"/>
      <c r="DM62" s="26"/>
      <c r="DN62" s="43"/>
      <c r="DO62" s="43"/>
      <c r="DP62" s="43"/>
      <c r="DQ62" s="43"/>
      <c r="DR62" s="43"/>
      <c r="DZ62" s="43"/>
      <c r="EM62" s="88"/>
      <c r="EO62" s="84"/>
      <c r="EP62" s="84"/>
      <c r="EQ62" s="88"/>
      <c r="ER62" s="88"/>
      <c r="ES62" s="88"/>
      <c r="ET62" s="88"/>
      <c r="EZ62" s="99"/>
      <c r="FB62" s="99"/>
      <c r="FC62" s="99"/>
      <c r="FD62" s="99"/>
      <c r="FE62" s="100"/>
      <c r="FF62" s="96"/>
      <c r="FK62" s="121"/>
      <c r="FL62" s="121"/>
      <c r="FX62" s="96"/>
      <c r="GO62" s="96"/>
    </row>
    <row r="63" spans="1:197" s="3" customFormat="1" ht="12">
      <c r="A63" s="104"/>
      <c r="B63" s="104"/>
      <c r="C63" s="176"/>
      <c r="D63" s="26"/>
      <c r="E63" s="43"/>
      <c r="F63" s="43"/>
      <c r="G63" s="26"/>
      <c r="H63" s="43"/>
      <c r="I63" s="43"/>
      <c r="J63" s="43"/>
      <c r="K63" s="26"/>
      <c r="L63" s="26"/>
      <c r="M63" s="43"/>
      <c r="N63" s="43"/>
      <c r="O63" s="43"/>
      <c r="P63" s="26"/>
      <c r="Q63" s="43"/>
      <c r="R63" s="43"/>
      <c r="S63" s="43"/>
      <c r="T63" s="43"/>
      <c r="U63" s="176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176"/>
      <c r="AZ63" s="43"/>
      <c r="BE63" s="176"/>
      <c r="BF63" s="43"/>
      <c r="BG63" s="43"/>
      <c r="BH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Y63" s="43"/>
      <c r="BZ63" s="43"/>
      <c r="CA63" s="43"/>
      <c r="CN63" s="43"/>
      <c r="CO63" s="97"/>
      <c r="CP63" s="98"/>
      <c r="CQ63" s="98"/>
      <c r="CR63" s="98"/>
      <c r="CS63" s="98"/>
      <c r="CU63" s="43"/>
      <c r="CV63" s="43"/>
      <c r="DG63" s="95"/>
      <c r="DH63" s="43"/>
      <c r="DI63" s="43"/>
      <c r="DJ63" s="43"/>
      <c r="DK63" s="43"/>
      <c r="DL63" s="26"/>
      <c r="DM63" s="26"/>
      <c r="DN63" s="43"/>
      <c r="DO63" s="101"/>
      <c r="DP63" s="101"/>
      <c r="DQ63" s="101"/>
      <c r="DR63" s="101"/>
      <c r="DZ63" s="43"/>
      <c r="EH63" s="43"/>
      <c r="EO63" s="85"/>
      <c r="EP63" s="85"/>
      <c r="EQ63" s="88"/>
      <c r="ER63" s="88"/>
      <c r="ES63" s="88"/>
      <c r="ET63" s="88"/>
      <c r="EZ63" s="99"/>
      <c r="FB63" s="99"/>
      <c r="FC63" s="99"/>
      <c r="FD63" s="99"/>
      <c r="FE63" s="100"/>
      <c r="FF63" s="96"/>
      <c r="FK63" s="121"/>
      <c r="FL63" s="121"/>
      <c r="FX63" s="96"/>
      <c r="GO63" s="96"/>
    </row>
    <row r="64" spans="1:197" s="3" customFormat="1" ht="12">
      <c r="A64" s="104"/>
      <c r="B64" s="104"/>
      <c r="C64" s="176"/>
      <c r="D64" s="26"/>
      <c r="E64" s="43"/>
      <c r="F64" s="43"/>
      <c r="G64" s="26"/>
      <c r="H64" s="43"/>
      <c r="I64" s="43"/>
      <c r="J64" s="43"/>
      <c r="K64" s="26"/>
      <c r="L64" s="26"/>
      <c r="M64" s="43"/>
      <c r="N64" s="43"/>
      <c r="O64" s="43"/>
      <c r="P64" s="26"/>
      <c r="Q64" s="43"/>
      <c r="R64" s="43"/>
      <c r="S64" s="43"/>
      <c r="T64" s="43"/>
      <c r="U64" s="176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176"/>
      <c r="BE64" s="176"/>
      <c r="BF64" s="43"/>
      <c r="BG64" s="43"/>
      <c r="BH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Y64" s="43"/>
      <c r="CA64" s="43"/>
      <c r="CL64" s="43"/>
      <c r="CN64" s="43"/>
      <c r="CO64" s="97"/>
      <c r="CP64" s="98"/>
      <c r="CQ64" s="98"/>
      <c r="CR64" s="98"/>
      <c r="CS64" s="98"/>
      <c r="DG64" s="95"/>
      <c r="DH64" s="43"/>
      <c r="DI64" s="79"/>
      <c r="DJ64" s="43"/>
      <c r="DK64" s="43"/>
      <c r="DL64" s="26"/>
      <c r="DM64" s="26"/>
      <c r="DN64" s="43"/>
      <c r="DO64" s="101"/>
      <c r="DP64" s="101"/>
      <c r="DQ64" s="101"/>
      <c r="DR64" s="101"/>
      <c r="DZ64" s="43"/>
      <c r="EO64" s="84"/>
      <c r="EP64" s="84"/>
      <c r="EQ64" s="88"/>
      <c r="ER64" s="88"/>
      <c r="ES64" s="88"/>
      <c r="ET64" s="88"/>
      <c r="EZ64" s="99"/>
      <c r="FB64" s="99"/>
      <c r="FC64" s="99"/>
      <c r="FD64" s="99"/>
      <c r="FE64" s="100"/>
      <c r="FF64" s="96"/>
      <c r="FK64" s="121"/>
      <c r="FL64" s="121"/>
      <c r="FX64" s="96"/>
      <c r="GO64" s="96"/>
    </row>
    <row r="65" spans="1:197" s="3" customFormat="1" ht="12">
      <c r="A65" s="104"/>
      <c r="B65" s="104"/>
      <c r="C65" s="176"/>
      <c r="D65" s="26"/>
      <c r="E65" s="43"/>
      <c r="F65" s="43"/>
      <c r="G65" s="26"/>
      <c r="H65" s="43"/>
      <c r="I65" s="43"/>
      <c r="J65" s="43"/>
      <c r="K65" s="26"/>
      <c r="L65" s="26"/>
      <c r="M65" s="43"/>
      <c r="N65" s="43"/>
      <c r="O65" s="43"/>
      <c r="P65" s="26"/>
      <c r="Q65" s="43"/>
      <c r="R65" s="43"/>
      <c r="S65" s="43"/>
      <c r="T65" s="43"/>
      <c r="U65" s="176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176"/>
      <c r="BA65" s="43"/>
      <c r="BE65" s="176"/>
      <c r="BF65" s="43"/>
      <c r="BG65" s="43"/>
      <c r="BH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Y65" s="43"/>
      <c r="CA65" s="43"/>
      <c r="CL65" s="43"/>
      <c r="CN65" s="43"/>
      <c r="CO65" s="97"/>
      <c r="CP65" s="98"/>
      <c r="CQ65" s="98"/>
      <c r="CR65" s="98"/>
      <c r="CS65" s="98"/>
      <c r="CX65" s="43"/>
      <c r="CY65" s="43"/>
      <c r="DA65" s="43"/>
      <c r="DG65" s="95"/>
      <c r="DH65" s="43"/>
      <c r="DI65" s="43"/>
      <c r="DJ65" s="43"/>
      <c r="DK65" s="43"/>
      <c r="DL65" s="26"/>
      <c r="DM65" s="26"/>
      <c r="DN65" s="43"/>
      <c r="DO65" s="43"/>
      <c r="DP65" s="43"/>
      <c r="DQ65" s="43"/>
      <c r="DR65" s="43"/>
      <c r="DZ65" s="43"/>
      <c r="EK65" s="43"/>
      <c r="EO65" s="84"/>
      <c r="EP65" s="84"/>
      <c r="EQ65" s="88"/>
      <c r="ER65" s="88"/>
      <c r="ES65" s="88"/>
      <c r="ET65" s="88"/>
      <c r="EZ65" s="99"/>
      <c r="FB65" s="98"/>
      <c r="FC65" s="99"/>
      <c r="FD65" s="99"/>
      <c r="FE65" s="100"/>
      <c r="FF65" s="96"/>
      <c r="FK65" s="121"/>
      <c r="FL65" s="121"/>
      <c r="FX65" s="96"/>
      <c r="GO65" s="96"/>
    </row>
    <row r="66" spans="1:197" s="3" customFormat="1" ht="12">
      <c r="A66" s="103"/>
      <c r="B66" s="103"/>
      <c r="C66" s="176"/>
      <c r="D66" s="26"/>
      <c r="E66" s="43"/>
      <c r="F66" s="43"/>
      <c r="G66" s="26"/>
      <c r="H66" s="43"/>
      <c r="I66" s="43"/>
      <c r="J66" s="43"/>
      <c r="K66" s="26"/>
      <c r="L66" s="26"/>
      <c r="M66" s="43"/>
      <c r="N66" s="43"/>
      <c r="O66" s="43"/>
      <c r="P66" s="26"/>
      <c r="Q66" s="43"/>
      <c r="R66" s="43"/>
      <c r="S66" s="43"/>
      <c r="T66" s="43"/>
      <c r="U66" s="176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176"/>
      <c r="BE66" s="176"/>
      <c r="BF66" s="43"/>
      <c r="BG66" s="43"/>
      <c r="BH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Y66" s="43"/>
      <c r="CA66" s="43"/>
      <c r="CL66" s="43"/>
      <c r="CN66" s="43"/>
      <c r="CO66" s="97"/>
      <c r="CP66" s="98"/>
      <c r="CQ66" s="98"/>
      <c r="CR66" s="98"/>
      <c r="CS66" s="98"/>
      <c r="CX66" s="43"/>
      <c r="CY66" s="43"/>
      <c r="DG66" s="89"/>
      <c r="DH66" s="79"/>
      <c r="DI66" s="43"/>
      <c r="DJ66" s="43"/>
      <c r="DK66" s="43"/>
      <c r="DL66" s="26"/>
      <c r="DM66" s="26"/>
      <c r="DN66" s="43"/>
      <c r="DO66" s="43"/>
      <c r="DP66" s="43"/>
      <c r="DQ66" s="43"/>
      <c r="DR66" s="43"/>
      <c r="DS66" s="86"/>
      <c r="DT66" s="86"/>
      <c r="DZ66" s="43"/>
      <c r="EO66" s="84"/>
      <c r="EP66" s="84"/>
      <c r="EQ66" s="88"/>
      <c r="ER66" s="88"/>
      <c r="ES66" s="88"/>
      <c r="ET66" s="88"/>
      <c r="EZ66" s="99"/>
      <c r="FB66" s="99"/>
      <c r="FC66" s="99"/>
      <c r="FD66" s="99"/>
      <c r="FE66" s="100"/>
      <c r="FF66" s="96"/>
      <c r="FK66" s="121"/>
      <c r="FL66" s="121"/>
      <c r="FX66" s="96"/>
      <c r="GO66" s="96"/>
    </row>
    <row r="67" spans="1:197" s="3" customFormat="1" ht="12">
      <c r="A67" s="103"/>
      <c r="B67" s="103"/>
      <c r="C67" s="176"/>
      <c r="D67" s="26"/>
      <c r="E67" s="43"/>
      <c r="F67" s="43"/>
      <c r="G67" s="26"/>
      <c r="H67" s="43"/>
      <c r="I67" s="43"/>
      <c r="J67" s="43"/>
      <c r="K67" s="26"/>
      <c r="L67" s="26"/>
      <c r="M67" s="43"/>
      <c r="N67" s="43"/>
      <c r="O67" s="43"/>
      <c r="P67" s="26"/>
      <c r="Q67" s="43"/>
      <c r="R67" s="43"/>
      <c r="S67" s="43"/>
      <c r="T67" s="43"/>
      <c r="U67" s="176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176"/>
      <c r="AS67" s="43"/>
      <c r="AX67" s="43"/>
      <c r="BE67" s="176"/>
      <c r="BF67" s="43"/>
      <c r="BG67" s="43"/>
      <c r="BH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Y67" s="43"/>
      <c r="CA67" s="43"/>
      <c r="CC67" s="43"/>
      <c r="CD67" s="43"/>
      <c r="CL67" s="43"/>
      <c r="CN67" s="43"/>
      <c r="CO67" s="97"/>
      <c r="CP67" s="98"/>
      <c r="CQ67" s="98"/>
      <c r="CR67" s="98"/>
      <c r="CS67" s="98"/>
      <c r="CT67" s="86"/>
      <c r="CU67" s="86"/>
      <c r="CV67" s="86"/>
      <c r="CW67" s="101"/>
      <c r="CX67" s="43"/>
      <c r="CY67" s="43"/>
      <c r="DA67" s="86"/>
      <c r="DB67" s="86"/>
      <c r="DC67" s="86"/>
      <c r="DD67" s="86"/>
      <c r="DG67" s="95"/>
      <c r="DH67" s="43"/>
      <c r="DI67" s="43"/>
      <c r="DJ67" s="43"/>
      <c r="DK67" s="43"/>
      <c r="DL67" s="26"/>
      <c r="DM67" s="26"/>
      <c r="DN67" s="43"/>
      <c r="DO67" s="43"/>
      <c r="DP67" s="43"/>
      <c r="DQ67" s="43"/>
      <c r="DR67" s="43"/>
      <c r="DS67" s="43"/>
      <c r="DT67" s="43"/>
      <c r="DU67" s="43"/>
      <c r="DZ67" s="43"/>
      <c r="EI67" s="43"/>
      <c r="EO67" s="84"/>
      <c r="EP67" s="84"/>
      <c r="EQ67" s="88"/>
      <c r="ER67" s="88"/>
      <c r="ES67" s="88"/>
      <c r="ET67" s="88"/>
      <c r="EZ67" s="99"/>
      <c r="FB67" s="99"/>
      <c r="FC67" s="99"/>
      <c r="FD67" s="99"/>
      <c r="FE67" s="100"/>
      <c r="FF67" s="96"/>
      <c r="FK67" s="121"/>
      <c r="FL67" s="121"/>
      <c r="FX67" s="96"/>
      <c r="GO67" s="96"/>
    </row>
    <row r="68" spans="1:197" s="3" customFormat="1" ht="12">
      <c r="A68" s="103"/>
      <c r="B68" s="103"/>
      <c r="C68" s="176"/>
      <c r="D68" s="26"/>
      <c r="E68" s="43"/>
      <c r="F68" s="43"/>
      <c r="G68" s="26"/>
      <c r="H68" s="43"/>
      <c r="I68" s="43"/>
      <c r="J68" s="43"/>
      <c r="K68" s="26"/>
      <c r="L68" s="26"/>
      <c r="M68" s="43"/>
      <c r="N68" s="43"/>
      <c r="O68" s="43"/>
      <c r="P68" s="26"/>
      <c r="Q68" s="43"/>
      <c r="R68" s="43"/>
      <c r="S68" s="43"/>
      <c r="T68" s="43"/>
      <c r="U68" s="176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176"/>
      <c r="BE68" s="176"/>
      <c r="BF68" s="43"/>
      <c r="BG68" s="43"/>
      <c r="BH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Y68" s="43"/>
      <c r="CA68" s="43"/>
      <c r="CL68" s="43"/>
      <c r="CN68" s="43"/>
      <c r="CO68" s="97"/>
      <c r="CP68" s="98"/>
      <c r="CQ68" s="98"/>
      <c r="CR68" s="98"/>
      <c r="CS68" s="98"/>
      <c r="CT68" s="86"/>
      <c r="CU68" s="86"/>
      <c r="CV68" s="86"/>
      <c r="CW68" s="86"/>
      <c r="CZ68" s="86"/>
      <c r="DA68" s="86"/>
      <c r="DB68" s="86"/>
      <c r="DC68" s="86"/>
      <c r="DD68" s="86"/>
      <c r="DG68" s="95"/>
      <c r="DH68" s="43"/>
      <c r="DI68" s="43"/>
      <c r="DJ68" s="43"/>
      <c r="DK68" s="43"/>
      <c r="DL68" s="26"/>
      <c r="DM68" s="26"/>
      <c r="DN68" s="43"/>
      <c r="DO68" s="43"/>
      <c r="DP68" s="43"/>
      <c r="DQ68" s="43"/>
      <c r="DR68" s="43"/>
      <c r="DS68" s="26"/>
      <c r="DT68" s="26"/>
      <c r="DU68" s="43"/>
      <c r="DZ68" s="43"/>
      <c r="EH68" s="43"/>
      <c r="EI68" s="43"/>
      <c r="EM68" s="43"/>
      <c r="EO68" s="84"/>
      <c r="EP68" s="84"/>
      <c r="EQ68" s="88"/>
      <c r="ER68" s="88"/>
      <c r="ES68" s="88"/>
      <c r="ET68" s="88"/>
      <c r="EZ68" s="99"/>
      <c r="FB68" s="99"/>
      <c r="FC68" s="99"/>
      <c r="FD68" s="99"/>
      <c r="FE68" s="100"/>
      <c r="FF68" s="96"/>
      <c r="FK68" s="121"/>
      <c r="FL68" s="121"/>
      <c r="FX68" s="96"/>
      <c r="GO68" s="96"/>
    </row>
    <row r="69" spans="1:197" s="3" customFormat="1" ht="12">
      <c r="A69" s="103"/>
      <c r="B69" s="103"/>
      <c r="C69" s="176"/>
      <c r="D69" s="29"/>
      <c r="E69" s="101"/>
      <c r="F69" s="101"/>
      <c r="G69" s="29"/>
      <c r="H69" s="101"/>
      <c r="I69" s="101"/>
      <c r="J69" s="101"/>
      <c r="K69" s="29"/>
      <c r="L69" s="29"/>
      <c r="M69" s="101"/>
      <c r="N69" s="101"/>
      <c r="O69" s="101"/>
      <c r="P69" s="29"/>
      <c r="Q69" s="101"/>
      <c r="R69" s="101"/>
      <c r="S69" s="101"/>
      <c r="T69" s="101"/>
      <c r="U69" s="176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182"/>
      <c r="AN69" s="101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182"/>
      <c r="BF69" s="101"/>
      <c r="BG69" s="101"/>
      <c r="BH69" s="101"/>
      <c r="BI69" s="86"/>
      <c r="BJ69" s="101"/>
      <c r="BK69" s="101"/>
      <c r="BL69" s="101"/>
      <c r="BM69" s="101"/>
      <c r="BN69" s="101"/>
      <c r="BO69" s="101"/>
      <c r="BP69" s="101"/>
      <c r="BQ69" s="101"/>
      <c r="BR69" s="101"/>
      <c r="BS69" s="101"/>
      <c r="BT69" s="101"/>
      <c r="BU69" s="101"/>
      <c r="BV69" s="101"/>
      <c r="BW69" s="101"/>
      <c r="BX69" s="86"/>
      <c r="BY69" s="101"/>
      <c r="BZ69" s="86"/>
      <c r="CA69" s="101"/>
      <c r="CB69" s="86"/>
      <c r="CC69" s="86"/>
      <c r="CD69" s="86"/>
      <c r="CE69" s="86"/>
      <c r="CF69" s="86"/>
      <c r="CG69" s="86"/>
      <c r="CH69" s="86"/>
      <c r="CI69" s="86"/>
      <c r="CJ69" s="86"/>
      <c r="CK69" s="86"/>
      <c r="CL69" s="101"/>
      <c r="CM69" s="86"/>
      <c r="CN69" s="43"/>
      <c r="CO69" s="97"/>
      <c r="CP69" s="98"/>
      <c r="CQ69" s="98"/>
      <c r="CR69" s="98"/>
      <c r="CS69" s="98"/>
      <c r="CU69" s="43"/>
      <c r="CV69" s="43"/>
      <c r="CX69" s="43"/>
      <c r="CZ69" s="43"/>
      <c r="DG69" s="95"/>
      <c r="DH69" s="43"/>
      <c r="DI69" s="43"/>
      <c r="DJ69" s="43"/>
      <c r="DK69" s="43"/>
      <c r="DL69" s="26"/>
      <c r="DM69" s="26"/>
      <c r="DN69" s="43"/>
      <c r="DO69" s="101"/>
      <c r="DP69" s="101"/>
      <c r="DQ69" s="101"/>
      <c r="DR69" s="101"/>
      <c r="DS69" s="26"/>
      <c r="DT69" s="26"/>
      <c r="DU69" s="43"/>
      <c r="DZ69" s="43"/>
      <c r="EO69" s="84"/>
      <c r="EP69" s="84"/>
      <c r="EQ69" s="88"/>
      <c r="ER69" s="88"/>
      <c r="ES69" s="88"/>
      <c r="ET69" s="88"/>
      <c r="EZ69" s="99"/>
      <c r="FB69" s="99"/>
      <c r="FC69" s="99"/>
      <c r="FD69" s="99"/>
      <c r="FE69" s="100"/>
      <c r="FF69" s="96"/>
      <c r="FK69" s="121"/>
      <c r="FL69" s="121"/>
      <c r="FX69" s="96"/>
      <c r="GO69" s="96"/>
    </row>
    <row r="70" spans="1:197" s="3" customFormat="1" ht="12">
      <c r="A70" s="103"/>
      <c r="B70" s="103"/>
      <c r="C70" s="176"/>
      <c r="D70" s="29"/>
      <c r="E70" s="101"/>
      <c r="F70" s="101"/>
      <c r="G70" s="29"/>
      <c r="H70" s="101"/>
      <c r="I70" s="101"/>
      <c r="J70" s="101"/>
      <c r="K70" s="29"/>
      <c r="L70" s="29"/>
      <c r="M70" s="101"/>
      <c r="N70" s="101"/>
      <c r="O70" s="101"/>
      <c r="P70" s="29"/>
      <c r="Q70" s="101"/>
      <c r="R70" s="101"/>
      <c r="S70" s="101"/>
      <c r="T70" s="101"/>
      <c r="U70" s="176"/>
      <c r="V70" s="43"/>
      <c r="W70" s="43"/>
      <c r="X70" s="43"/>
      <c r="Y70" s="43"/>
      <c r="AC70" s="43"/>
      <c r="AD70" s="43"/>
      <c r="AE70" s="43"/>
      <c r="AF70" s="43"/>
      <c r="AG70" s="43"/>
      <c r="AH70" s="43"/>
      <c r="AM70" s="182"/>
      <c r="AN70" s="101"/>
      <c r="AO70" s="86"/>
      <c r="AP70" s="86"/>
      <c r="AQ70" s="86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82"/>
      <c r="BF70" s="101"/>
      <c r="BG70" s="101"/>
      <c r="BH70" s="101"/>
      <c r="BI70" s="86"/>
      <c r="BJ70" s="101"/>
      <c r="BK70" s="101"/>
      <c r="BL70" s="101"/>
      <c r="BM70" s="101"/>
      <c r="BN70" s="101"/>
      <c r="BO70" s="101"/>
      <c r="BP70" s="101"/>
      <c r="BQ70" s="101"/>
      <c r="BR70" s="101"/>
      <c r="BS70" s="101"/>
      <c r="BT70" s="101"/>
      <c r="BU70" s="101"/>
      <c r="BV70" s="101"/>
      <c r="BW70" s="101"/>
      <c r="BX70" s="86"/>
      <c r="BY70" s="101"/>
      <c r="BZ70" s="86"/>
      <c r="CA70" s="101"/>
      <c r="CB70" s="86"/>
      <c r="CC70" s="86"/>
      <c r="CD70" s="86"/>
      <c r="CE70" s="86"/>
      <c r="CF70" s="86"/>
      <c r="CG70" s="86"/>
      <c r="CH70" s="86"/>
      <c r="CI70" s="86"/>
      <c r="CJ70" s="86"/>
      <c r="CK70" s="86"/>
      <c r="CL70" s="101"/>
      <c r="CM70" s="86"/>
      <c r="CN70" s="43"/>
      <c r="CO70" s="97"/>
      <c r="CP70" s="98"/>
      <c r="CQ70" s="98"/>
      <c r="CR70" s="98"/>
      <c r="CS70" s="98"/>
      <c r="DG70" s="95"/>
      <c r="DH70" s="43"/>
      <c r="DI70" s="43"/>
      <c r="DJ70" s="43"/>
      <c r="DK70" s="43"/>
      <c r="DL70" s="26"/>
      <c r="DM70" s="26"/>
      <c r="DN70" s="43"/>
      <c r="DO70" s="43"/>
      <c r="DP70" s="43"/>
      <c r="DQ70" s="43"/>
      <c r="DR70" s="43"/>
      <c r="DS70" s="43"/>
      <c r="DT70" s="43"/>
      <c r="DU70" s="43"/>
      <c r="DZ70" s="43"/>
      <c r="EJ70" s="88"/>
      <c r="EM70" s="88"/>
      <c r="EO70" s="84"/>
      <c r="EP70" s="84"/>
      <c r="EQ70" s="88"/>
      <c r="ER70" s="88"/>
      <c r="ES70" s="88"/>
      <c r="ET70" s="88"/>
      <c r="EZ70" s="99"/>
      <c r="FB70" s="99"/>
      <c r="FC70" s="99"/>
      <c r="FD70" s="99"/>
      <c r="FE70" s="100"/>
      <c r="FF70" s="96"/>
      <c r="FK70" s="121"/>
      <c r="FL70" s="121"/>
      <c r="FX70" s="96"/>
      <c r="GO70" s="96"/>
    </row>
    <row r="71" spans="1:197" s="3" customFormat="1" ht="12">
      <c r="A71" s="103"/>
      <c r="B71" s="103"/>
      <c r="C71" s="176"/>
      <c r="D71" s="26"/>
      <c r="E71" s="43"/>
      <c r="F71" s="43"/>
      <c r="G71" s="26"/>
      <c r="H71" s="43"/>
      <c r="I71" s="43"/>
      <c r="J71" s="43"/>
      <c r="K71" s="26"/>
      <c r="L71" s="26"/>
      <c r="M71" s="43"/>
      <c r="N71" s="43"/>
      <c r="O71" s="43"/>
      <c r="P71" s="26"/>
      <c r="Q71" s="43"/>
      <c r="R71" s="43"/>
      <c r="S71" s="43"/>
      <c r="T71" s="43"/>
      <c r="U71" s="176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176"/>
      <c r="AU71" s="43"/>
      <c r="BA71" s="43"/>
      <c r="BE71" s="176"/>
      <c r="BF71" s="43"/>
      <c r="BG71" s="43"/>
      <c r="BH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Y71" s="43"/>
      <c r="CA71" s="43"/>
      <c r="CL71" s="43"/>
      <c r="CN71" s="43"/>
      <c r="CO71" s="97"/>
      <c r="CP71" s="98"/>
      <c r="CQ71" s="98"/>
      <c r="CR71" s="98"/>
      <c r="CS71" s="98"/>
      <c r="CU71" s="43"/>
      <c r="CW71" s="43"/>
      <c r="CX71" s="43"/>
      <c r="DG71" s="95"/>
      <c r="DH71" s="43"/>
      <c r="DI71" s="43"/>
      <c r="DJ71" s="43"/>
      <c r="DK71" s="43"/>
      <c r="DL71" s="26"/>
      <c r="DM71" s="26"/>
      <c r="DN71" s="43"/>
      <c r="DO71" s="43"/>
      <c r="DP71" s="43"/>
      <c r="DQ71" s="43"/>
      <c r="DR71" s="43"/>
      <c r="DS71" s="26"/>
      <c r="DT71" s="26"/>
      <c r="DU71" s="43"/>
      <c r="DZ71" s="43"/>
      <c r="EL71" s="43"/>
      <c r="EM71" s="43"/>
      <c r="EN71" s="43"/>
      <c r="EO71" s="84"/>
      <c r="EP71" s="84"/>
      <c r="EQ71" s="88"/>
      <c r="ER71" s="88"/>
      <c r="ES71" s="88"/>
      <c r="ET71" s="88"/>
      <c r="EZ71" s="99"/>
      <c r="FB71" s="99"/>
      <c r="FC71" s="99"/>
      <c r="FD71" s="99"/>
      <c r="FE71" s="100"/>
      <c r="FF71" s="96"/>
      <c r="FK71" s="121"/>
      <c r="FL71" s="121"/>
      <c r="FX71" s="96"/>
      <c r="GO71" s="96"/>
    </row>
    <row r="72" spans="1:197" s="3" customFormat="1" ht="12">
      <c r="A72" s="103"/>
      <c r="B72" s="103"/>
      <c r="C72" s="176"/>
      <c r="D72" s="26"/>
      <c r="E72" s="43"/>
      <c r="F72" s="43"/>
      <c r="G72" s="26"/>
      <c r="H72" s="43"/>
      <c r="I72" s="43"/>
      <c r="J72" s="43"/>
      <c r="K72" s="26"/>
      <c r="L72" s="26"/>
      <c r="M72" s="43"/>
      <c r="N72" s="43"/>
      <c r="O72" s="43"/>
      <c r="P72" s="26"/>
      <c r="Q72" s="43"/>
      <c r="R72" s="43"/>
      <c r="S72" s="43"/>
      <c r="T72" s="43"/>
      <c r="U72" s="176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176"/>
      <c r="BE72" s="176"/>
      <c r="BF72" s="43"/>
      <c r="BG72" s="43"/>
      <c r="BH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Y72" s="43"/>
      <c r="CA72" s="43"/>
      <c r="CL72" s="43"/>
      <c r="CN72" s="43"/>
      <c r="CO72" s="97"/>
      <c r="CP72" s="98"/>
      <c r="CQ72" s="98"/>
      <c r="CR72" s="98"/>
      <c r="CS72" s="98"/>
      <c r="DG72" s="95"/>
      <c r="DH72" s="43"/>
      <c r="DI72" s="43"/>
      <c r="DJ72" s="43"/>
      <c r="DK72" s="43"/>
      <c r="DL72" s="26"/>
      <c r="DM72" s="26"/>
      <c r="DN72" s="43"/>
      <c r="DO72" s="43"/>
      <c r="DP72" s="43"/>
      <c r="DQ72" s="43"/>
      <c r="DR72" s="43"/>
      <c r="DS72" s="26"/>
      <c r="DT72" s="26"/>
      <c r="DU72" s="43"/>
      <c r="DZ72" s="43"/>
      <c r="EH72" s="88"/>
      <c r="EM72" s="43"/>
      <c r="EO72" s="84"/>
      <c r="EP72" s="84"/>
      <c r="EQ72" s="88"/>
      <c r="ER72" s="88"/>
      <c r="ES72" s="88"/>
      <c r="ET72" s="88"/>
      <c r="EZ72" s="99"/>
      <c r="FB72" s="99"/>
      <c r="FC72" s="99"/>
      <c r="FD72" s="99"/>
      <c r="FE72" s="100"/>
      <c r="FF72" s="96"/>
      <c r="FK72" s="121"/>
      <c r="FL72" s="121"/>
      <c r="FX72" s="96"/>
      <c r="GO72" s="96"/>
    </row>
    <row r="73" spans="1:197" s="3" customFormat="1" ht="12">
      <c r="A73" s="103"/>
      <c r="B73" s="103"/>
      <c r="C73" s="176"/>
      <c r="D73" s="26"/>
      <c r="E73" s="43"/>
      <c r="F73" s="43"/>
      <c r="G73" s="26"/>
      <c r="H73" s="43"/>
      <c r="I73" s="43"/>
      <c r="J73" s="43"/>
      <c r="K73" s="26"/>
      <c r="L73" s="26"/>
      <c r="M73" s="43"/>
      <c r="N73" s="43"/>
      <c r="O73" s="43"/>
      <c r="P73" s="26"/>
      <c r="Q73" s="43"/>
      <c r="R73" s="43"/>
      <c r="S73" s="43"/>
      <c r="T73" s="43"/>
      <c r="U73" s="176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176"/>
      <c r="BE73" s="176"/>
      <c r="BF73" s="43"/>
      <c r="BG73" s="43"/>
      <c r="BH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Y73" s="43"/>
      <c r="CA73" s="43"/>
      <c r="CL73" s="43"/>
      <c r="CN73" s="43"/>
      <c r="CO73" s="97"/>
      <c r="CP73" s="98"/>
      <c r="CQ73" s="98"/>
      <c r="CR73" s="98"/>
      <c r="CS73" s="98"/>
      <c r="CT73" s="86"/>
      <c r="CU73" s="86"/>
      <c r="CV73" s="86"/>
      <c r="CW73" s="86"/>
      <c r="CY73" s="43"/>
      <c r="DA73" s="86"/>
      <c r="DB73" s="86"/>
      <c r="DC73" s="86"/>
      <c r="DD73" s="86"/>
      <c r="DG73" s="95"/>
      <c r="DH73" s="43"/>
      <c r="DI73" s="43"/>
      <c r="DJ73" s="43"/>
      <c r="DK73" s="43"/>
      <c r="DL73" s="26"/>
      <c r="DM73" s="26"/>
      <c r="DN73" s="43"/>
      <c r="DO73" s="43"/>
      <c r="DP73" s="43"/>
      <c r="DQ73" s="43"/>
      <c r="DR73" s="43"/>
      <c r="DS73" s="26"/>
      <c r="DT73" s="26"/>
      <c r="DU73" s="43"/>
      <c r="DZ73" s="43"/>
      <c r="EH73" s="43"/>
      <c r="EM73" s="43"/>
      <c r="EO73" s="84"/>
      <c r="EP73" s="84"/>
      <c r="EQ73" s="88"/>
      <c r="ER73" s="88"/>
      <c r="ES73" s="88"/>
      <c r="ET73" s="88"/>
      <c r="EZ73" s="99"/>
      <c r="FB73" s="99"/>
      <c r="FC73" s="99"/>
      <c r="FD73" s="99"/>
      <c r="FE73" s="100"/>
      <c r="FF73" s="96"/>
      <c r="FK73" s="121"/>
      <c r="FL73" s="121"/>
      <c r="FX73" s="96"/>
      <c r="GO73" s="96"/>
    </row>
    <row r="74" spans="1:197" s="3" customFormat="1" ht="12">
      <c r="A74" s="103"/>
      <c r="B74" s="103"/>
      <c r="C74" s="176"/>
      <c r="D74" s="26"/>
      <c r="E74" s="43"/>
      <c r="F74" s="43"/>
      <c r="G74" s="26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176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176"/>
      <c r="BE74" s="176"/>
      <c r="BF74" s="43"/>
      <c r="BG74" s="43"/>
      <c r="BH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Y74" s="43"/>
      <c r="CA74" s="43"/>
      <c r="CL74" s="43"/>
      <c r="CN74" s="43"/>
      <c r="CO74" s="97"/>
      <c r="CP74" s="98"/>
      <c r="CQ74" s="98"/>
      <c r="CR74" s="98"/>
      <c r="CS74" s="98"/>
      <c r="DG74" s="95"/>
      <c r="DH74" s="43"/>
      <c r="DI74" s="43"/>
      <c r="DJ74" s="43"/>
      <c r="DK74" s="43"/>
      <c r="DL74" s="26"/>
      <c r="DM74" s="26"/>
      <c r="DN74" s="43"/>
      <c r="DO74" s="43"/>
      <c r="DP74" s="43"/>
      <c r="DQ74" s="43"/>
      <c r="DR74" s="43"/>
      <c r="DS74" s="43"/>
      <c r="DT74" s="43"/>
      <c r="DU74" s="43"/>
      <c r="DZ74" s="43"/>
      <c r="EM74" s="43"/>
      <c r="EO74" s="84"/>
      <c r="EP74" s="84"/>
      <c r="EQ74" s="88"/>
      <c r="ER74" s="88"/>
      <c r="ES74" s="88"/>
      <c r="ET74" s="88"/>
      <c r="EZ74" s="99"/>
      <c r="FB74" s="99"/>
      <c r="FC74" s="99"/>
      <c r="FD74" s="99"/>
      <c r="FE74" s="100"/>
      <c r="FF74" s="96"/>
      <c r="FK74" s="121"/>
      <c r="FL74" s="121"/>
      <c r="FX74" s="96"/>
      <c r="GO74" s="96"/>
    </row>
    <row r="75" spans="1:197" s="3" customFormat="1" ht="12">
      <c r="A75" s="103"/>
      <c r="B75" s="103"/>
      <c r="C75" s="176"/>
      <c r="D75" s="29"/>
      <c r="E75" s="101"/>
      <c r="F75" s="101"/>
      <c r="G75" s="29"/>
      <c r="H75" s="101"/>
      <c r="I75" s="101"/>
      <c r="J75" s="101"/>
      <c r="K75" s="29"/>
      <c r="L75" s="29"/>
      <c r="M75" s="101"/>
      <c r="N75" s="101"/>
      <c r="O75" s="101"/>
      <c r="P75" s="29"/>
      <c r="Q75" s="101"/>
      <c r="R75" s="101"/>
      <c r="S75" s="101"/>
      <c r="T75" s="101"/>
      <c r="U75" s="176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182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182"/>
      <c r="BF75" s="101"/>
      <c r="BG75" s="101"/>
      <c r="BH75" s="101"/>
      <c r="BI75" s="86"/>
      <c r="BJ75" s="101"/>
      <c r="BK75" s="101"/>
      <c r="BL75" s="101"/>
      <c r="BM75" s="101"/>
      <c r="BN75" s="101"/>
      <c r="BO75" s="101"/>
      <c r="BP75" s="101"/>
      <c r="BQ75" s="101"/>
      <c r="BR75" s="101"/>
      <c r="BS75" s="101"/>
      <c r="BT75" s="101"/>
      <c r="BU75" s="101"/>
      <c r="BV75" s="101"/>
      <c r="BW75" s="101"/>
      <c r="BX75" s="86"/>
      <c r="BY75" s="101"/>
      <c r="BZ75" s="86"/>
      <c r="CA75" s="101"/>
      <c r="CB75" s="86"/>
      <c r="CC75" s="86"/>
      <c r="CD75" s="86"/>
      <c r="CE75" s="86"/>
      <c r="CF75" s="86"/>
      <c r="CG75" s="86"/>
      <c r="CH75" s="86"/>
      <c r="CI75" s="86"/>
      <c r="CJ75" s="86"/>
      <c r="CK75" s="86"/>
      <c r="CL75" s="101"/>
      <c r="CM75" s="86"/>
      <c r="CN75" s="43"/>
      <c r="CO75" s="97"/>
      <c r="CP75" s="98"/>
      <c r="CQ75" s="98"/>
      <c r="CR75" s="98"/>
      <c r="CS75" s="98"/>
      <c r="CX75" s="43"/>
      <c r="DG75" s="95"/>
      <c r="DH75" s="43"/>
      <c r="DI75" s="43"/>
      <c r="DJ75" s="43"/>
      <c r="DK75" s="43"/>
      <c r="DL75" s="26"/>
      <c r="DM75" s="26"/>
      <c r="DN75" s="43"/>
      <c r="DO75" s="43"/>
      <c r="DP75" s="43"/>
      <c r="DQ75" s="43"/>
      <c r="DR75" s="43"/>
      <c r="DS75" s="26"/>
      <c r="DT75" s="26"/>
      <c r="DU75" s="43"/>
      <c r="DZ75" s="43"/>
      <c r="EM75" s="43"/>
      <c r="EO75" s="84"/>
      <c r="EP75" s="84"/>
      <c r="EQ75" s="88"/>
      <c r="ER75" s="88"/>
      <c r="ES75" s="88"/>
      <c r="ET75" s="88"/>
      <c r="EZ75" s="99"/>
      <c r="FB75" s="99"/>
      <c r="FC75" s="99"/>
      <c r="FD75" s="99"/>
      <c r="FE75" s="100"/>
      <c r="FF75" s="96"/>
      <c r="FK75" s="121"/>
      <c r="FL75" s="121"/>
      <c r="FX75" s="96"/>
      <c r="GO75" s="96"/>
    </row>
    <row r="76" spans="1:197" s="3" customFormat="1" ht="12">
      <c r="A76" s="103"/>
      <c r="B76" s="103"/>
      <c r="C76" s="176"/>
      <c r="D76" s="29"/>
      <c r="E76" s="101"/>
      <c r="F76" s="101"/>
      <c r="G76" s="29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176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176"/>
      <c r="BE76" s="176"/>
      <c r="BF76" s="43"/>
      <c r="BG76" s="43"/>
      <c r="BH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Y76" s="43"/>
      <c r="CA76" s="43"/>
      <c r="CL76" s="43"/>
      <c r="CN76" s="43"/>
      <c r="CO76" s="97"/>
      <c r="CP76" s="98"/>
      <c r="CQ76" s="98"/>
      <c r="CR76" s="98"/>
      <c r="CS76" s="98"/>
      <c r="DG76" s="95"/>
      <c r="DH76" s="43"/>
      <c r="DI76" s="43"/>
      <c r="DJ76" s="43"/>
      <c r="DK76" s="43"/>
      <c r="DL76" s="26"/>
      <c r="DM76" s="26"/>
      <c r="DN76" s="43"/>
      <c r="DO76" s="43"/>
      <c r="DP76" s="43"/>
      <c r="DQ76" s="43"/>
      <c r="DR76" s="43"/>
      <c r="DS76" s="26"/>
      <c r="DT76" s="26"/>
      <c r="DU76" s="43"/>
      <c r="DZ76" s="43"/>
      <c r="EM76" s="43"/>
      <c r="EO76" s="84"/>
      <c r="EP76" s="84"/>
      <c r="EQ76" s="88"/>
      <c r="ER76" s="88"/>
      <c r="ES76" s="88"/>
      <c r="ET76" s="88"/>
      <c r="EZ76" s="99"/>
      <c r="FB76" s="99"/>
      <c r="FC76" s="99"/>
      <c r="FD76" s="99"/>
      <c r="FE76" s="100"/>
      <c r="FF76" s="96"/>
      <c r="FK76" s="121"/>
      <c r="FL76" s="121"/>
      <c r="FX76" s="96"/>
      <c r="GO76" s="96"/>
    </row>
    <row r="77" spans="1:197" s="3" customFormat="1" ht="12">
      <c r="A77" s="103"/>
      <c r="B77" s="103"/>
      <c r="C77" s="176"/>
      <c r="D77" s="26"/>
      <c r="E77" s="43"/>
      <c r="F77" s="43"/>
      <c r="G77" s="26"/>
      <c r="H77" s="43"/>
      <c r="I77" s="43"/>
      <c r="J77" s="43"/>
      <c r="K77" s="26"/>
      <c r="L77" s="26"/>
      <c r="M77" s="43"/>
      <c r="N77" s="43"/>
      <c r="O77" s="43"/>
      <c r="P77" s="26"/>
      <c r="Q77" s="43"/>
      <c r="R77" s="43"/>
      <c r="S77" s="43"/>
      <c r="T77" s="43"/>
      <c r="U77" s="176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176"/>
      <c r="BE77" s="176"/>
      <c r="BF77" s="43"/>
      <c r="BG77" s="43"/>
      <c r="BH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Y77" s="43"/>
      <c r="CA77" s="43"/>
      <c r="CL77" s="43"/>
      <c r="CN77" s="43"/>
      <c r="CO77" s="97"/>
      <c r="CP77" s="98"/>
      <c r="CQ77" s="98"/>
      <c r="CR77" s="98"/>
      <c r="CS77" s="98"/>
      <c r="CW77" s="43"/>
      <c r="CZ77" s="43"/>
      <c r="DG77" s="95"/>
      <c r="DH77" s="43"/>
      <c r="DI77" s="43"/>
      <c r="DJ77" s="43"/>
      <c r="DK77" s="43"/>
      <c r="DL77" s="43"/>
      <c r="DM77" s="43"/>
      <c r="DN77" s="43"/>
      <c r="DO77" s="43"/>
      <c r="DP77" s="43"/>
      <c r="DQ77" s="43"/>
      <c r="DR77" s="43"/>
      <c r="DS77" s="26"/>
      <c r="DT77" s="26"/>
      <c r="DU77" s="43"/>
      <c r="DZ77" s="43"/>
      <c r="EF77" s="43"/>
      <c r="EH77" s="43"/>
      <c r="EI77" s="43"/>
      <c r="EK77" s="43"/>
      <c r="EM77" s="43"/>
      <c r="EO77" s="84"/>
      <c r="EP77" s="84"/>
      <c r="EQ77" s="88"/>
      <c r="ER77" s="88"/>
      <c r="ES77" s="88"/>
      <c r="ET77" s="88"/>
      <c r="EZ77" s="99"/>
      <c r="FB77" s="99"/>
      <c r="FC77" s="99"/>
      <c r="FD77" s="99"/>
      <c r="FE77" s="100"/>
      <c r="FF77" s="96"/>
      <c r="FK77" s="121"/>
      <c r="FL77" s="121"/>
      <c r="FX77" s="96"/>
      <c r="GO77" s="96"/>
    </row>
    <row r="78" spans="1:197" s="3" customFormat="1" ht="12">
      <c r="A78" s="103"/>
      <c r="B78" s="103"/>
      <c r="C78" s="176"/>
      <c r="D78" s="26"/>
      <c r="E78" s="43"/>
      <c r="F78" s="43"/>
      <c r="G78" s="26"/>
      <c r="H78" s="43"/>
      <c r="I78" s="43"/>
      <c r="J78" s="43"/>
      <c r="K78" s="26"/>
      <c r="L78" s="26"/>
      <c r="M78" s="43"/>
      <c r="N78" s="43"/>
      <c r="O78" s="43"/>
      <c r="P78" s="26"/>
      <c r="Q78" s="43"/>
      <c r="R78" s="43"/>
      <c r="S78" s="43"/>
      <c r="T78" s="43"/>
      <c r="U78" s="176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176"/>
      <c r="BE78" s="176"/>
      <c r="BF78" s="43"/>
      <c r="BG78" s="43"/>
      <c r="BH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Y78" s="43"/>
      <c r="CA78" s="43"/>
      <c r="CL78" s="43"/>
      <c r="CN78" s="43"/>
      <c r="CO78" s="97"/>
      <c r="CP78" s="98"/>
      <c r="CQ78" s="98"/>
      <c r="CR78" s="98"/>
      <c r="CS78" s="98"/>
      <c r="CZ78" s="43"/>
      <c r="DG78" s="95"/>
      <c r="DH78" s="43"/>
      <c r="DI78" s="43"/>
      <c r="DJ78" s="43"/>
      <c r="DK78" s="79"/>
      <c r="DL78" s="29"/>
      <c r="DM78" s="29"/>
      <c r="DN78" s="43"/>
      <c r="DO78" s="43"/>
      <c r="DP78" s="43"/>
      <c r="DQ78" s="43"/>
      <c r="DR78" s="43"/>
      <c r="DS78" s="26"/>
      <c r="DT78" s="26"/>
      <c r="DU78" s="43"/>
      <c r="DZ78" s="43"/>
      <c r="EJ78" s="88"/>
      <c r="EK78" s="88"/>
      <c r="EL78" s="88"/>
      <c r="EM78" s="43"/>
      <c r="EN78" s="88"/>
      <c r="EO78" s="84"/>
      <c r="EP78" s="84"/>
      <c r="EQ78" s="88"/>
      <c r="ER78" s="88"/>
      <c r="ES78" s="88"/>
      <c r="ET78" s="88"/>
      <c r="EZ78" s="99"/>
      <c r="FB78" s="99"/>
      <c r="FC78" s="99"/>
      <c r="FD78" s="99"/>
      <c r="FE78" s="100"/>
      <c r="FF78" s="96"/>
      <c r="FK78" s="121"/>
      <c r="FL78" s="121"/>
      <c r="FX78" s="96"/>
      <c r="GO78" s="96"/>
    </row>
    <row r="79" spans="1:197" s="3" customFormat="1" ht="12">
      <c r="A79" s="103"/>
      <c r="B79" s="103"/>
      <c r="C79" s="176"/>
      <c r="D79" s="26"/>
      <c r="E79" s="43"/>
      <c r="F79" s="43"/>
      <c r="G79" s="26"/>
      <c r="H79" s="43"/>
      <c r="I79" s="43"/>
      <c r="J79" s="43"/>
      <c r="K79" s="26"/>
      <c r="L79" s="26"/>
      <c r="M79" s="43"/>
      <c r="N79" s="43"/>
      <c r="O79" s="43"/>
      <c r="P79" s="26"/>
      <c r="Q79" s="43"/>
      <c r="R79" s="43"/>
      <c r="S79" s="43"/>
      <c r="T79" s="43"/>
      <c r="U79" s="176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176"/>
      <c r="AT79" s="43"/>
      <c r="AV79" s="43"/>
      <c r="BC79" s="43"/>
      <c r="BD79" s="43"/>
      <c r="BE79" s="176"/>
      <c r="BF79" s="43"/>
      <c r="BG79" s="43"/>
      <c r="BH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Y79" s="43"/>
      <c r="CA79" s="43"/>
      <c r="CL79" s="43"/>
      <c r="CN79" s="43"/>
      <c r="CO79" s="97"/>
      <c r="CP79" s="98"/>
      <c r="CQ79" s="98"/>
      <c r="CR79" s="98"/>
      <c r="CS79" s="98"/>
      <c r="DG79" s="95"/>
      <c r="DH79" s="43"/>
      <c r="DI79" s="43"/>
      <c r="DJ79" s="43"/>
      <c r="DK79" s="43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Z79" s="43"/>
      <c r="EM79" s="43"/>
      <c r="EO79" s="84"/>
      <c r="EP79" s="84"/>
      <c r="EQ79" s="88"/>
      <c r="ER79" s="88"/>
      <c r="ES79" s="88"/>
      <c r="ET79" s="88"/>
      <c r="EZ79" s="99"/>
      <c r="FB79" s="99"/>
      <c r="FC79" s="99"/>
      <c r="FD79" s="99"/>
      <c r="FE79" s="100"/>
      <c r="FF79" s="96"/>
      <c r="FK79" s="121"/>
      <c r="FL79" s="121"/>
      <c r="FX79" s="96"/>
      <c r="GO79" s="96"/>
    </row>
    <row r="80" spans="1:197" s="3" customFormat="1" ht="12">
      <c r="A80" s="103"/>
      <c r="B80" s="103"/>
      <c r="C80" s="176"/>
      <c r="D80" s="26"/>
      <c r="E80" s="43"/>
      <c r="F80" s="43"/>
      <c r="G80" s="26"/>
      <c r="J80" s="43"/>
      <c r="K80" s="26"/>
      <c r="M80" s="43"/>
      <c r="N80" s="43"/>
      <c r="O80" s="43"/>
      <c r="P80" s="26"/>
      <c r="Q80" s="43"/>
      <c r="U80" s="176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176"/>
      <c r="BE80" s="176"/>
      <c r="BF80" s="43"/>
      <c r="BG80" s="43"/>
      <c r="BH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Y80" s="43"/>
      <c r="CA80" s="43"/>
      <c r="CL80" s="43"/>
      <c r="CN80" s="43"/>
      <c r="CO80" s="97"/>
      <c r="CP80" s="98"/>
      <c r="CQ80" s="98"/>
      <c r="CR80" s="98"/>
      <c r="CS80" s="98"/>
      <c r="CW80" s="43"/>
      <c r="CX80" s="43"/>
      <c r="CY80" s="43"/>
      <c r="DC80" s="43"/>
      <c r="DG80" s="95"/>
      <c r="DH80" s="43"/>
      <c r="DI80" s="43"/>
      <c r="DJ80" s="43"/>
      <c r="DK80" s="43"/>
      <c r="DL80" s="43"/>
      <c r="DM80" s="43"/>
      <c r="DN80" s="43"/>
      <c r="DO80" s="43"/>
      <c r="DP80" s="43"/>
      <c r="DQ80" s="43"/>
      <c r="DR80" s="43"/>
      <c r="DS80" s="29"/>
      <c r="DT80" s="29"/>
      <c r="DU80" s="43"/>
      <c r="DZ80" s="43"/>
      <c r="EM80" s="43"/>
      <c r="EO80" s="84"/>
      <c r="EP80" s="84"/>
      <c r="EQ80" s="88"/>
      <c r="ER80" s="88"/>
      <c r="ES80" s="88"/>
      <c r="ET80" s="88"/>
      <c r="EZ80" s="99"/>
      <c r="FB80" s="99"/>
      <c r="FC80" s="99"/>
      <c r="FD80" s="99"/>
      <c r="FE80" s="100"/>
      <c r="FF80" s="96"/>
      <c r="FK80" s="121"/>
      <c r="FL80" s="121"/>
      <c r="FX80" s="96"/>
      <c r="GO80" s="96"/>
    </row>
    <row r="81" spans="1:197" s="3" customFormat="1" ht="12">
      <c r="A81" s="103"/>
      <c r="B81" s="103"/>
      <c r="C81" s="176"/>
      <c r="D81" s="26"/>
      <c r="E81" s="43"/>
      <c r="F81" s="43"/>
      <c r="G81" s="26"/>
      <c r="J81" s="43"/>
      <c r="K81" s="26"/>
      <c r="L81" s="43"/>
      <c r="M81" s="43"/>
      <c r="N81" s="43"/>
      <c r="O81" s="43"/>
      <c r="P81" s="26"/>
      <c r="Q81" s="43"/>
      <c r="U81" s="176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176"/>
      <c r="BB81" s="43"/>
      <c r="BE81" s="176"/>
      <c r="BF81" s="43"/>
      <c r="BG81" s="43"/>
      <c r="BH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Y81" s="43"/>
      <c r="CA81" s="43"/>
      <c r="CL81" s="43"/>
      <c r="CM81" s="105"/>
      <c r="CN81" s="43"/>
      <c r="CO81" s="97"/>
      <c r="CP81" s="98"/>
      <c r="CQ81" s="98"/>
      <c r="CR81" s="98"/>
      <c r="CS81" s="98"/>
      <c r="CT81" s="106"/>
      <c r="CU81" s="106"/>
      <c r="CV81" s="106"/>
      <c r="CW81" s="106"/>
      <c r="CX81" s="106"/>
      <c r="CY81" s="106"/>
      <c r="CZ81" s="106"/>
      <c r="DA81" s="106"/>
      <c r="DB81" s="105"/>
      <c r="DG81" s="95"/>
      <c r="DH81" s="43"/>
      <c r="DI81" s="43"/>
      <c r="DJ81" s="43"/>
      <c r="DK81" s="43"/>
      <c r="DQ81" s="43"/>
      <c r="DR81" s="43"/>
      <c r="DS81" s="43"/>
      <c r="DT81" s="43"/>
      <c r="DU81" s="43"/>
      <c r="DY81" s="43"/>
      <c r="DZ81" s="43"/>
      <c r="EN81" s="43"/>
      <c r="EO81" s="85"/>
      <c r="EP81" s="85"/>
      <c r="EQ81" s="88"/>
      <c r="ER81" s="88"/>
      <c r="ES81" s="88"/>
      <c r="ET81" s="88"/>
      <c r="EZ81" s="99"/>
      <c r="FB81" s="99"/>
      <c r="FC81" s="99"/>
      <c r="FD81" s="98"/>
      <c r="FE81" s="98"/>
      <c r="FF81" s="89"/>
      <c r="FK81" s="121"/>
      <c r="FL81" s="121"/>
      <c r="FX81" s="96"/>
      <c r="GO81" s="96"/>
    </row>
    <row r="82" spans="1:197" s="3" customFormat="1" ht="12">
      <c r="A82" s="103"/>
      <c r="B82" s="103"/>
      <c r="C82" s="176"/>
      <c r="D82" s="26"/>
      <c r="E82" s="43"/>
      <c r="F82" s="43"/>
      <c r="G82" s="26"/>
      <c r="J82" s="43"/>
      <c r="K82" s="26"/>
      <c r="M82" s="43"/>
      <c r="N82" s="43"/>
      <c r="O82" s="43"/>
      <c r="P82" s="26"/>
      <c r="Q82" s="43"/>
      <c r="U82" s="176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176"/>
      <c r="BC82" s="43"/>
      <c r="BD82" s="43"/>
      <c r="BE82" s="176"/>
      <c r="BF82" s="43"/>
      <c r="BG82" s="43"/>
      <c r="BH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Y82" s="43"/>
      <c r="CA82" s="43"/>
      <c r="CL82" s="43"/>
      <c r="CN82" s="43"/>
      <c r="CO82" s="97"/>
      <c r="CP82" s="98"/>
      <c r="CQ82" s="98"/>
      <c r="CR82" s="98"/>
      <c r="CS82" s="98"/>
      <c r="CV82" s="43"/>
      <c r="DG82" s="95"/>
      <c r="DH82" s="43"/>
      <c r="DI82" s="43"/>
      <c r="DJ82" s="43"/>
      <c r="DK82" s="43"/>
      <c r="DL82" s="43"/>
      <c r="DQ82" s="43"/>
      <c r="DR82" s="43"/>
      <c r="DS82" s="30"/>
      <c r="DT82" s="29"/>
      <c r="DU82" s="43"/>
      <c r="DZ82" s="43"/>
      <c r="EB82" s="43"/>
      <c r="EH82" s="43"/>
      <c r="EN82" s="43"/>
      <c r="EO82" s="84"/>
      <c r="EP82" s="84"/>
      <c r="EQ82" s="88"/>
      <c r="ER82" s="88"/>
      <c r="ES82" s="88"/>
      <c r="ET82" s="88"/>
      <c r="EZ82" s="99"/>
      <c r="FB82" s="99"/>
      <c r="FC82" s="99"/>
      <c r="FD82" s="99"/>
      <c r="FE82" s="100"/>
      <c r="FF82" s="96"/>
      <c r="FK82" s="121"/>
      <c r="FL82" s="121"/>
      <c r="FX82" s="96"/>
      <c r="GO82" s="96"/>
    </row>
    <row r="83" spans="1:197" s="3" customFormat="1" ht="12">
      <c r="A83" s="103"/>
      <c r="B83" s="103"/>
      <c r="C83" s="176"/>
      <c r="D83" s="26"/>
      <c r="E83" s="43"/>
      <c r="F83" s="43"/>
      <c r="G83" s="26"/>
      <c r="J83" s="43"/>
      <c r="K83" s="26"/>
      <c r="M83" s="43"/>
      <c r="N83" s="43"/>
      <c r="O83" s="43"/>
      <c r="P83" s="26"/>
      <c r="Q83" s="43"/>
      <c r="U83" s="176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176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176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Y83" s="43"/>
      <c r="CA83" s="43"/>
      <c r="CL83" s="43"/>
      <c r="CN83" s="43"/>
      <c r="CO83" s="89"/>
      <c r="CP83" s="79"/>
      <c r="CQ83" s="79"/>
      <c r="CR83" s="79"/>
      <c r="CS83" s="79"/>
      <c r="CV83" s="43"/>
      <c r="DG83" s="89"/>
      <c r="DH83" s="43"/>
      <c r="DI83" s="79"/>
      <c r="DJ83" s="79"/>
      <c r="DK83" s="79"/>
      <c r="DL83" s="43"/>
      <c r="DM83" s="43"/>
      <c r="DN83" s="43"/>
      <c r="DO83" s="43"/>
      <c r="DP83" s="43"/>
      <c r="DQ83" s="43"/>
      <c r="DR83" s="43"/>
      <c r="DS83" s="43"/>
      <c r="DT83" s="43"/>
      <c r="DU83" s="43"/>
      <c r="DZ83" s="43"/>
      <c r="EO83" s="84"/>
      <c r="EP83" s="84"/>
      <c r="EQ83" s="88"/>
      <c r="ER83" s="88"/>
      <c r="ES83" s="88"/>
      <c r="ET83" s="88"/>
      <c r="EZ83" s="88"/>
      <c r="FB83" s="99"/>
      <c r="FC83" s="88"/>
      <c r="FD83" s="99"/>
      <c r="FE83" s="100"/>
      <c r="FF83" s="96"/>
      <c r="FK83" s="121"/>
      <c r="FL83" s="121"/>
      <c r="FX83" s="96"/>
      <c r="GO83" s="96"/>
    </row>
    <row r="84" spans="1:197" s="88" customFormat="1" ht="12">
      <c r="A84" s="80"/>
      <c r="B84" s="80"/>
      <c r="C84" s="172"/>
      <c r="D84" s="24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176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172"/>
      <c r="AN84" s="79"/>
      <c r="AO84" s="79"/>
      <c r="AP84" s="79"/>
      <c r="AR84" s="79"/>
      <c r="AS84" s="79"/>
      <c r="AT84" s="79"/>
      <c r="AU84" s="79"/>
      <c r="AV84" s="79"/>
      <c r="AW84" s="79"/>
      <c r="AX84" s="79"/>
      <c r="AY84" s="79"/>
      <c r="AZ84" s="79"/>
      <c r="BC84" s="79"/>
      <c r="BD84" s="79"/>
      <c r="BE84" s="172"/>
      <c r="BF84" s="79"/>
      <c r="BG84" s="79"/>
      <c r="BH84" s="79"/>
      <c r="BJ84" s="79"/>
      <c r="BK84" s="79"/>
      <c r="BL84" s="79"/>
      <c r="BM84" s="79"/>
      <c r="BN84" s="79"/>
      <c r="BO84" s="79"/>
      <c r="BP84" s="79"/>
      <c r="BQ84" s="79"/>
      <c r="BR84" s="79"/>
      <c r="BS84" s="79"/>
      <c r="BT84" s="79"/>
      <c r="BU84" s="79"/>
      <c r="BV84" s="79"/>
      <c r="BW84" s="79"/>
      <c r="CA84" s="79"/>
      <c r="CN84" s="43"/>
      <c r="CO84" s="89"/>
      <c r="CP84" s="79"/>
      <c r="CQ84" s="79"/>
      <c r="CR84" s="79"/>
      <c r="CS84" s="79"/>
      <c r="DG84" s="89"/>
      <c r="DH84" s="79"/>
      <c r="DI84" s="79"/>
      <c r="DJ84" s="79"/>
      <c r="DK84" s="79"/>
      <c r="DL84" s="3"/>
      <c r="DM84" s="3"/>
      <c r="DN84" s="3"/>
      <c r="DO84" s="3"/>
      <c r="DP84" s="3"/>
      <c r="DQ84" s="3"/>
      <c r="DR84" s="3"/>
      <c r="DS84" s="32"/>
      <c r="DT84" s="32"/>
      <c r="DU84" s="3"/>
      <c r="DV84" s="86"/>
      <c r="DW84" s="86"/>
      <c r="DX84" s="86"/>
      <c r="DY84" s="79"/>
      <c r="DZ84" s="79"/>
      <c r="EA84" s="79"/>
      <c r="EB84" s="79"/>
      <c r="EC84" s="3"/>
      <c r="ED84" s="3"/>
      <c r="EE84" s="3"/>
      <c r="EF84" s="3"/>
      <c r="EG84" s="3"/>
      <c r="EH84" s="79"/>
      <c r="EI84" s="79"/>
      <c r="EJ84" s="79"/>
      <c r="EK84" s="79"/>
      <c r="EL84" s="79"/>
      <c r="EM84" s="79"/>
      <c r="EN84" s="79"/>
      <c r="EO84" s="84"/>
      <c r="EP84" s="84"/>
      <c r="EU84" s="3"/>
      <c r="EV84" s="3"/>
      <c r="EW84" s="3"/>
      <c r="EX84" s="3"/>
      <c r="EY84" s="3"/>
      <c r="FE84" s="92"/>
      <c r="FF84" s="96"/>
      <c r="FK84" s="120"/>
      <c r="FL84" s="120"/>
      <c r="FX84" s="96"/>
      <c r="GO84" s="96"/>
    </row>
    <row r="85" spans="1:197" s="88" customFormat="1" ht="12">
      <c r="A85" s="87"/>
      <c r="B85" s="87"/>
      <c r="C85" s="172"/>
      <c r="D85" s="24"/>
      <c r="E85" s="79"/>
      <c r="F85" s="79"/>
      <c r="G85" s="24"/>
      <c r="J85" s="79"/>
      <c r="K85" s="24"/>
      <c r="M85" s="79"/>
      <c r="N85" s="79"/>
      <c r="O85" s="79"/>
      <c r="P85" s="24"/>
      <c r="Q85" s="79"/>
      <c r="U85" s="172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172"/>
      <c r="AO85" s="79"/>
      <c r="AP85" s="79"/>
      <c r="AQ85" s="79"/>
      <c r="AR85" s="79"/>
      <c r="BC85" s="79"/>
      <c r="BD85" s="79"/>
      <c r="BE85" s="172"/>
      <c r="BF85" s="79"/>
      <c r="BG85" s="79"/>
      <c r="BH85" s="79"/>
      <c r="BJ85" s="79"/>
      <c r="BK85" s="79"/>
      <c r="BL85" s="79"/>
      <c r="BM85" s="79"/>
      <c r="BN85" s="79"/>
      <c r="BO85" s="79"/>
      <c r="BP85" s="79"/>
      <c r="BQ85" s="79"/>
      <c r="BR85" s="79"/>
      <c r="BS85" s="79"/>
      <c r="BT85" s="79"/>
      <c r="BU85" s="79"/>
      <c r="BV85" s="79"/>
      <c r="BW85" s="89"/>
      <c r="BY85" s="79"/>
      <c r="CA85" s="79"/>
      <c r="CC85" s="79"/>
      <c r="CG85" s="79"/>
      <c r="CK85" s="79"/>
      <c r="CL85" s="79"/>
      <c r="CN85" s="43"/>
      <c r="CO85" s="89"/>
      <c r="CP85" s="79"/>
      <c r="CQ85" s="79"/>
      <c r="CR85" s="79"/>
      <c r="CS85" s="79"/>
      <c r="DG85" s="89"/>
      <c r="DH85" s="79"/>
      <c r="DI85" s="79"/>
      <c r="DJ85" s="79"/>
      <c r="DK85" s="79"/>
      <c r="DM85" s="79"/>
      <c r="DN85" s="79"/>
      <c r="DO85" s="79"/>
      <c r="DP85" s="79"/>
      <c r="DQ85" s="79"/>
      <c r="DR85" s="79"/>
      <c r="DS85" s="79"/>
      <c r="DT85" s="79"/>
      <c r="DU85" s="79"/>
      <c r="DV85" s="34"/>
      <c r="DW85" s="34"/>
      <c r="DX85" s="34"/>
      <c r="DZ85" s="79"/>
      <c r="EC85" s="90"/>
      <c r="ED85" s="90"/>
      <c r="EE85" s="90"/>
      <c r="EF85" s="90"/>
      <c r="EG85" s="91"/>
      <c r="EI85" s="79"/>
      <c r="EK85" s="79"/>
      <c r="EL85" s="79"/>
      <c r="EM85" s="79"/>
      <c r="EN85" s="79"/>
      <c r="EO85" s="55"/>
      <c r="EP85" s="55"/>
      <c r="EU85" s="90"/>
      <c r="EV85" s="90"/>
      <c r="EW85" s="90"/>
      <c r="EX85" s="91"/>
      <c r="EY85" s="90"/>
      <c r="FA85" s="79"/>
      <c r="FE85" s="92"/>
      <c r="FF85" s="96"/>
      <c r="FG85" s="79"/>
      <c r="FH85" s="79"/>
      <c r="FI85" s="79"/>
      <c r="FJ85" s="79"/>
      <c r="FK85" s="120"/>
      <c r="FL85" s="120"/>
      <c r="FM85" s="79"/>
      <c r="FN85" s="79"/>
      <c r="FO85" s="79"/>
      <c r="FP85" s="79"/>
      <c r="FX85" s="96"/>
      <c r="GO85" s="96"/>
    </row>
    <row r="86" spans="2:197" s="3" customFormat="1" ht="12">
      <c r="B86" s="86"/>
      <c r="C86" s="173"/>
      <c r="U86" s="173"/>
      <c r="AM86" s="173"/>
      <c r="AQ86" s="43"/>
      <c r="BE86" s="173"/>
      <c r="CO86" s="93"/>
      <c r="DL86" s="79"/>
      <c r="DZ86" s="79"/>
      <c r="EA86" s="88"/>
      <c r="EH86" s="88"/>
      <c r="EJ86" s="88"/>
      <c r="EO86" s="56"/>
      <c r="EP86" s="56"/>
      <c r="FD86" s="88"/>
      <c r="FE86" s="92"/>
      <c r="FF86" s="88"/>
      <c r="FX86" s="96"/>
      <c r="GO86" s="96"/>
    </row>
    <row r="87" spans="1:197" s="3" customFormat="1" ht="12">
      <c r="A87" s="86"/>
      <c r="C87" s="173"/>
      <c r="U87" s="173"/>
      <c r="AM87" s="173"/>
      <c r="BE87" s="173"/>
      <c r="CO87" s="93"/>
      <c r="FE87" s="94"/>
      <c r="FX87" s="96"/>
      <c r="GO87" s="96"/>
    </row>
    <row r="88" spans="3:197" s="3" customFormat="1" ht="12">
      <c r="C88" s="173"/>
      <c r="U88" s="173"/>
      <c r="AM88" s="173"/>
      <c r="BE88" s="173"/>
      <c r="CO88" s="93"/>
      <c r="FE88" s="94"/>
      <c r="FX88" s="96"/>
      <c r="GO88" s="96"/>
    </row>
    <row r="89" spans="3:197" s="3" customFormat="1" ht="12">
      <c r="C89" s="173"/>
      <c r="U89" s="173"/>
      <c r="AM89" s="173"/>
      <c r="BE89" s="173"/>
      <c r="CO89" s="93"/>
      <c r="FE89" s="94"/>
      <c r="FX89" s="96"/>
      <c r="GO89" s="96"/>
    </row>
    <row r="90" spans="2:197" s="11" customFormat="1" ht="15.75">
      <c r="B90" s="1"/>
      <c r="C90" s="164"/>
      <c r="U90" s="164"/>
      <c r="AM90" s="164"/>
      <c r="BE90" s="164"/>
      <c r="CO90" s="66"/>
      <c r="DV90" s="67"/>
      <c r="DW90" s="67"/>
      <c r="DX90" s="67"/>
      <c r="FE90" s="68"/>
      <c r="FX90" s="66"/>
      <c r="GO90" s="66"/>
    </row>
    <row r="91" spans="2:197" s="11" customFormat="1" ht="15.75">
      <c r="B91" s="1"/>
      <c r="C91" s="164"/>
      <c r="U91" s="164"/>
      <c r="AM91" s="164"/>
      <c r="BE91" s="164"/>
      <c r="CO91" s="66"/>
      <c r="DV91" s="67"/>
      <c r="DW91" s="67"/>
      <c r="DX91" s="67"/>
      <c r="FE91" s="68"/>
      <c r="FX91" s="66"/>
      <c r="GO91" s="66"/>
    </row>
    <row r="92" spans="2:197" s="11" customFormat="1" ht="12">
      <c r="B92" s="58"/>
      <c r="C92" s="164"/>
      <c r="U92" s="164"/>
      <c r="AM92" s="164"/>
      <c r="BE92" s="164"/>
      <c r="CO92" s="66"/>
      <c r="DV92" s="67"/>
      <c r="DW92" s="67"/>
      <c r="DX92" s="67"/>
      <c r="FE92" s="68"/>
      <c r="FX92" s="66"/>
      <c r="GO92" s="66"/>
    </row>
    <row r="93" spans="1:197" s="88" customFormat="1" ht="12.75">
      <c r="A93" s="69"/>
      <c r="C93" s="74"/>
      <c r="D93" s="70"/>
      <c r="E93" s="70"/>
      <c r="F93" s="70"/>
      <c r="G93" s="70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9"/>
      <c r="V93" s="71"/>
      <c r="W93" s="70"/>
      <c r="X93" s="70"/>
      <c r="Y93" s="70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74"/>
      <c r="AN93" s="70"/>
      <c r="AO93" s="70"/>
      <c r="AP93" s="70"/>
      <c r="AQ93" s="70"/>
      <c r="AR93" s="72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74"/>
      <c r="BF93" s="72"/>
      <c r="BG93" s="72"/>
      <c r="BH93" s="72"/>
      <c r="BI93" s="72"/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/>
      <c r="BU93" s="72"/>
      <c r="BV93" s="17"/>
      <c r="BW93" s="14"/>
      <c r="BX93" s="72"/>
      <c r="BY93" s="72"/>
      <c r="BZ93" s="72"/>
      <c r="CA93" s="72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73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4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H93" s="17"/>
      <c r="FI93" s="17"/>
      <c r="FJ93" s="17"/>
      <c r="FK93" s="17"/>
      <c r="FL93" s="17"/>
      <c r="FM93" s="17"/>
      <c r="FN93" s="17"/>
      <c r="FO93" s="17"/>
      <c r="FP93" s="17"/>
      <c r="FQ93" s="17"/>
      <c r="FR93" s="17"/>
      <c r="FS93" s="17"/>
      <c r="FT93" s="17"/>
      <c r="FU93" s="17"/>
      <c r="FV93" s="17"/>
      <c r="FX93" s="96"/>
      <c r="GO93" s="96"/>
    </row>
    <row r="94" spans="3:197" s="14" customFormat="1" ht="12.75">
      <c r="C94" s="74"/>
      <c r="U94" s="74"/>
      <c r="AM94" s="74"/>
      <c r="BE94" s="74"/>
      <c r="BW94" s="73"/>
      <c r="CO94" s="73"/>
      <c r="DG94" s="73"/>
      <c r="EC94" s="74"/>
      <c r="ED94" s="74"/>
      <c r="EE94" s="74"/>
      <c r="EF94" s="74"/>
      <c r="EG94" s="74"/>
      <c r="EH94" s="74"/>
      <c r="EI94" s="74"/>
      <c r="EJ94" s="74"/>
      <c r="EK94" s="74"/>
      <c r="EL94" s="74"/>
      <c r="EM94" s="74"/>
      <c r="EN94" s="74"/>
      <c r="EO94" s="73"/>
      <c r="EP94" s="73"/>
      <c r="EU94" s="74"/>
      <c r="EV94" s="74"/>
      <c r="EW94" s="74"/>
      <c r="EX94" s="74"/>
      <c r="EY94" s="74"/>
      <c r="EZ94" s="74"/>
      <c r="FA94" s="74"/>
      <c r="FB94" s="74"/>
      <c r="FC94" s="74"/>
      <c r="FD94" s="74"/>
      <c r="FE94" s="75"/>
      <c r="FG94" s="73"/>
      <c r="FX94" s="73"/>
      <c r="GO94" s="73"/>
    </row>
    <row r="95" spans="3:197" s="3" customFormat="1" ht="12">
      <c r="C95" s="176"/>
      <c r="U95" s="176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173"/>
      <c r="BE95" s="176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W95" s="93"/>
      <c r="CO95" s="93"/>
      <c r="DG95" s="43"/>
      <c r="EO95" s="93"/>
      <c r="EP95" s="93"/>
      <c r="FE95" s="94"/>
      <c r="FX95" s="96"/>
      <c r="GO95" s="96"/>
    </row>
    <row r="96" spans="3:197" s="88" customFormat="1" ht="12">
      <c r="C96" s="172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172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  <c r="AL96" s="79"/>
      <c r="AM96" s="172"/>
      <c r="AN96" s="79"/>
      <c r="AO96" s="79"/>
      <c r="AP96" s="79"/>
      <c r="AQ96" s="79"/>
      <c r="AR96" s="79"/>
      <c r="AS96" s="79"/>
      <c r="AT96" s="79"/>
      <c r="AU96" s="79"/>
      <c r="AV96" s="79"/>
      <c r="AW96" s="79"/>
      <c r="AX96" s="79"/>
      <c r="AY96" s="79"/>
      <c r="AZ96" s="79"/>
      <c r="BA96" s="79"/>
      <c r="BB96" s="79"/>
      <c r="BC96" s="79"/>
      <c r="BD96" s="79"/>
      <c r="BE96" s="172"/>
      <c r="BF96" s="79"/>
      <c r="BH96" s="79"/>
      <c r="BJ96" s="79"/>
      <c r="BK96" s="79"/>
      <c r="BL96" s="79"/>
      <c r="BM96" s="79"/>
      <c r="BN96" s="79"/>
      <c r="BO96" s="79"/>
      <c r="BP96" s="79"/>
      <c r="BQ96" s="79"/>
      <c r="BR96" s="79"/>
      <c r="BS96" s="79"/>
      <c r="BT96" s="79"/>
      <c r="BU96" s="79"/>
      <c r="BV96" s="79"/>
      <c r="BW96" s="89"/>
      <c r="BY96" s="79"/>
      <c r="CA96" s="79"/>
      <c r="CE96" s="79"/>
      <c r="CF96" s="79"/>
      <c r="CG96" s="79"/>
      <c r="CL96" s="79"/>
      <c r="CO96" s="89"/>
      <c r="CP96" s="79"/>
      <c r="CQ96" s="79"/>
      <c r="CR96" s="79"/>
      <c r="CS96" s="79"/>
      <c r="CV96" s="79"/>
      <c r="CX96" s="79"/>
      <c r="CZ96" s="79"/>
      <c r="DB96" s="79"/>
      <c r="DC96" s="79"/>
      <c r="DG96" s="89"/>
      <c r="DH96" s="79"/>
      <c r="DI96" s="79"/>
      <c r="DJ96" s="79"/>
      <c r="DK96" s="79"/>
      <c r="DL96" s="79"/>
      <c r="DM96" s="79"/>
      <c r="DN96" s="79"/>
      <c r="DO96" s="79"/>
      <c r="DP96" s="79"/>
      <c r="DQ96" s="79"/>
      <c r="DR96" s="79"/>
      <c r="DS96" s="79"/>
      <c r="DT96" s="79"/>
      <c r="DU96" s="79"/>
      <c r="DV96" s="79"/>
      <c r="DW96" s="79"/>
      <c r="DX96" s="79"/>
      <c r="DZ96" s="79"/>
      <c r="EB96" s="79"/>
      <c r="EC96" s="90"/>
      <c r="ED96" s="90"/>
      <c r="EE96" s="90"/>
      <c r="EF96" s="90"/>
      <c r="EG96" s="90"/>
      <c r="EH96" s="90"/>
      <c r="EM96" s="79"/>
      <c r="EN96" s="56"/>
      <c r="EO96" s="76"/>
      <c r="EP96" s="76"/>
      <c r="EU96" s="90"/>
      <c r="EV96" s="90"/>
      <c r="EW96" s="90"/>
      <c r="EX96" s="90"/>
      <c r="EY96" s="90"/>
      <c r="EZ96" s="90"/>
      <c r="FA96" s="90"/>
      <c r="FB96" s="90"/>
      <c r="FC96" s="90"/>
      <c r="FD96" s="90"/>
      <c r="FE96" s="90"/>
      <c r="FX96" s="96"/>
      <c r="GO96" s="96"/>
    </row>
    <row r="97" spans="3:197" s="3" customFormat="1" ht="12">
      <c r="C97" s="172"/>
      <c r="D97" s="24"/>
      <c r="E97" s="79"/>
      <c r="F97" s="79"/>
      <c r="G97" s="24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172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173"/>
      <c r="BE97" s="172"/>
      <c r="BF97" s="79"/>
      <c r="BG97" s="79"/>
      <c r="BH97" s="79"/>
      <c r="BI97" s="79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89"/>
      <c r="BX97" s="79"/>
      <c r="BY97" s="79"/>
      <c r="BZ97" s="79"/>
      <c r="CA97" s="79"/>
      <c r="CB97" s="79"/>
      <c r="CC97" s="79"/>
      <c r="CD97" s="79"/>
      <c r="CE97" s="79"/>
      <c r="CF97" s="79"/>
      <c r="CG97" s="79"/>
      <c r="CH97" s="79"/>
      <c r="CI97" s="79"/>
      <c r="CJ97" s="79"/>
      <c r="CK97" s="79"/>
      <c r="CL97" s="79"/>
      <c r="CO97" s="89"/>
      <c r="CP97" s="79"/>
      <c r="CQ97" s="79"/>
      <c r="CR97" s="79"/>
      <c r="CS97" s="79"/>
      <c r="CX97" s="88"/>
      <c r="CZ97" s="89"/>
      <c r="DA97" s="89"/>
      <c r="DG97" s="89"/>
      <c r="DH97" s="79"/>
      <c r="DI97" s="79"/>
      <c r="DJ97" s="79"/>
      <c r="DK97" s="79"/>
      <c r="DL97" s="43"/>
      <c r="DM97" s="77"/>
      <c r="DN97" s="79"/>
      <c r="DO97" s="43"/>
      <c r="DP97" s="43"/>
      <c r="DQ97" s="43"/>
      <c r="DR97" s="43"/>
      <c r="DS97" s="78"/>
      <c r="DT97" s="78"/>
      <c r="DV97" s="78"/>
      <c r="DW97" s="78"/>
      <c r="DX97" s="78"/>
      <c r="DY97" s="88"/>
      <c r="DZ97" s="88"/>
      <c r="EA97" s="88"/>
      <c r="EB97" s="88"/>
      <c r="EC97" s="90"/>
      <c r="ED97" s="90"/>
      <c r="EE97" s="90"/>
      <c r="EF97" s="90"/>
      <c r="EG97" s="90"/>
      <c r="EH97" s="88"/>
      <c r="EI97" s="88"/>
      <c r="EJ97" s="88"/>
      <c r="EK97" s="88"/>
      <c r="EL97" s="88"/>
      <c r="EM97" s="88"/>
      <c r="EN97" s="88"/>
      <c r="EO97" s="76"/>
      <c r="EP97" s="76"/>
      <c r="EQ97" s="88"/>
      <c r="ER97" s="88"/>
      <c r="ES97" s="88"/>
      <c r="ET97" s="88"/>
      <c r="EU97" s="90"/>
      <c r="EV97" s="90"/>
      <c r="EW97" s="90"/>
      <c r="EX97" s="90"/>
      <c r="EY97" s="90"/>
      <c r="EZ97" s="90"/>
      <c r="FA97" s="90"/>
      <c r="FB97" s="90"/>
      <c r="FC97" s="90"/>
      <c r="FD97" s="90"/>
      <c r="FE97" s="90"/>
      <c r="FF97" s="88"/>
      <c r="FX97" s="96"/>
      <c r="GO97" s="96"/>
    </row>
    <row r="98" spans="3:197" s="88" customFormat="1" ht="12">
      <c r="C98" s="172"/>
      <c r="D98" s="24"/>
      <c r="E98" s="79"/>
      <c r="F98" s="79"/>
      <c r="G98" s="24"/>
      <c r="H98" s="79"/>
      <c r="I98" s="79"/>
      <c r="J98" s="79"/>
      <c r="K98" s="24"/>
      <c r="L98" s="79"/>
      <c r="M98" s="79"/>
      <c r="N98" s="79"/>
      <c r="O98" s="79"/>
      <c r="P98" s="24"/>
      <c r="Q98" s="79"/>
      <c r="R98" s="79"/>
      <c r="S98" s="79"/>
      <c r="T98" s="79"/>
      <c r="U98" s="172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79"/>
      <c r="AK98" s="79"/>
      <c r="AL98" s="79"/>
      <c r="AM98" s="172"/>
      <c r="AP98" s="79"/>
      <c r="AQ98" s="79"/>
      <c r="AR98" s="79"/>
      <c r="AS98" s="79"/>
      <c r="AT98" s="79"/>
      <c r="AU98" s="79"/>
      <c r="AV98" s="79"/>
      <c r="AW98" s="79"/>
      <c r="AX98" s="79"/>
      <c r="AY98" s="79"/>
      <c r="AZ98" s="79"/>
      <c r="BA98" s="79"/>
      <c r="BB98" s="79"/>
      <c r="BC98" s="79"/>
      <c r="BD98" s="79"/>
      <c r="BE98" s="172"/>
      <c r="BF98" s="79"/>
      <c r="BG98" s="79"/>
      <c r="BH98" s="79"/>
      <c r="BI98" s="79"/>
      <c r="BJ98" s="79"/>
      <c r="BK98" s="79"/>
      <c r="BL98" s="79"/>
      <c r="BM98" s="79"/>
      <c r="BN98" s="79"/>
      <c r="BO98" s="79"/>
      <c r="BP98" s="79"/>
      <c r="BQ98" s="79"/>
      <c r="BR98" s="79"/>
      <c r="BS98" s="79"/>
      <c r="BT98" s="79"/>
      <c r="BU98" s="79"/>
      <c r="BV98" s="79"/>
      <c r="BW98" s="89"/>
      <c r="BY98" s="79"/>
      <c r="CA98" s="79"/>
      <c r="CG98" s="79"/>
      <c r="CK98" s="79"/>
      <c r="CL98" s="79"/>
      <c r="CO98" s="89"/>
      <c r="CP98" s="79"/>
      <c r="CQ98" s="79"/>
      <c r="CR98" s="79"/>
      <c r="CS98" s="79"/>
      <c r="CT98" s="79"/>
      <c r="CU98" s="79"/>
      <c r="CW98" s="79"/>
      <c r="CY98" s="79"/>
      <c r="CZ98" s="79"/>
      <c r="DB98" s="79"/>
      <c r="DC98" s="79"/>
      <c r="DG98" s="89"/>
      <c r="DH98" s="79"/>
      <c r="DI98" s="79"/>
      <c r="DJ98" s="79"/>
      <c r="DK98" s="79"/>
      <c r="DL98" s="52"/>
      <c r="DM98" s="52"/>
      <c r="DN98" s="52"/>
      <c r="DO98" s="79"/>
      <c r="DP98" s="79"/>
      <c r="DQ98" s="79"/>
      <c r="DR98" s="79"/>
      <c r="DS98" s="34"/>
      <c r="DT98" s="34"/>
      <c r="DU98" s="79"/>
      <c r="DV98" s="80"/>
      <c r="DW98" s="80"/>
      <c r="DX98" s="80"/>
      <c r="DZ98" s="79"/>
      <c r="EC98" s="90"/>
      <c r="ED98" s="90"/>
      <c r="EE98" s="90"/>
      <c r="EF98" s="90"/>
      <c r="EG98" s="90"/>
      <c r="EN98" s="81"/>
      <c r="EO98" s="76"/>
      <c r="EP98" s="76"/>
      <c r="EU98" s="90"/>
      <c r="EV98" s="90"/>
      <c r="EW98" s="90"/>
      <c r="EX98" s="90"/>
      <c r="EY98" s="90"/>
      <c r="EZ98" s="90"/>
      <c r="FA98" s="90"/>
      <c r="FB98" s="90"/>
      <c r="FC98" s="90"/>
      <c r="FD98" s="90"/>
      <c r="FE98" s="90"/>
      <c r="FX98" s="96"/>
      <c r="GO98" s="96"/>
    </row>
    <row r="99" spans="3:197" s="3" customFormat="1" ht="12">
      <c r="C99" s="176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176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176"/>
      <c r="BE99" s="176"/>
      <c r="BF99" s="43"/>
      <c r="BG99" s="43"/>
      <c r="BH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43"/>
      <c r="BW99" s="43"/>
      <c r="BY99" s="43"/>
      <c r="CA99" s="43"/>
      <c r="CJ99" s="43"/>
      <c r="CL99" s="43"/>
      <c r="CO99" s="97"/>
      <c r="CP99" s="98"/>
      <c r="CQ99" s="98"/>
      <c r="CR99" s="98"/>
      <c r="CS99" s="98"/>
      <c r="CZ99" s="43"/>
      <c r="DG99" s="95"/>
      <c r="DH99" s="43"/>
      <c r="DI99" s="43"/>
      <c r="DJ99" s="43"/>
      <c r="DK99" s="43"/>
      <c r="DL99" s="43"/>
      <c r="DM99" s="43"/>
      <c r="DN99" s="43"/>
      <c r="DO99" s="43"/>
      <c r="DP99" s="43"/>
      <c r="DQ99" s="43"/>
      <c r="DR99" s="43"/>
      <c r="DS99" s="43"/>
      <c r="DT99" s="43"/>
      <c r="DU99" s="43"/>
      <c r="DV99" s="43"/>
      <c r="DZ99" s="43"/>
      <c r="EL99" s="86"/>
      <c r="EN99" s="82"/>
      <c r="EO99" s="83"/>
      <c r="EP99" s="83"/>
      <c r="EQ99" s="88"/>
      <c r="ER99" s="88"/>
      <c r="ES99" s="88"/>
      <c r="ET99" s="88"/>
      <c r="EU99" s="99"/>
      <c r="EV99" s="99"/>
      <c r="EW99" s="99"/>
      <c r="EX99" s="99"/>
      <c r="EY99" s="99"/>
      <c r="EZ99" s="99"/>
      <c r="FA99" s="99"/>
      <c r="FB99" s="99"/>
      <c r="FC99" s="99"/>
      <c r="FD99" s="99"/>
      <c r="FE99" s="99"/>
      <c r="FF99" s="88"/>
      <c r="FX99" s="96"/>
      <c r="GO99" s="96"/>
    </row>
    <row r="100" spans="3:197" s="3" customFormat="1" ht="12">
      <c r="C100" s="176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176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176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176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/>
      <c r="BT100" s="43"/>
      <c r="BU100" s="43"/>
      <c r="BV100" s="43"/>
      <c r="BW100" s="79"/>
      <c r="BY100" s="43"/>
      <c r="CA100" s="43"/>
      <c r="CL100" s="43"/>
      <c r="CO100" s="97"/>
      <c r="CP100" s="98"/>
      <c r="CQ100" s="98"/>
      <c r="CR100" s="98"/>
      <c r="CS100" s="98"/>
      <c r="CU100" s="43"/>
      <c r="CV100" s="43"/>
      <c r="CZ100" s="43"/>
      <c r="DD100" s="43"/>
      <c r="DG100" s="95"/>
      <c r="DH100" s="43"/>
      <c r="DI100" s="43"/>
      <c r="DJ100" s="43"/>
      <c r="DK100" s="43"/>
      <c r="DL100" s="26"/>
      <c r="DM100" s="26"/>
      <c r="DN100" s="43"/>
      <c r="DO100" s="43"/>
      <c r="DP100" s="43"/>
      <c r="DQ100" s="43"/>
      <c r="DR100" s="43"/>
      <c r="DS100" s="43"/>
      <c r="DT100" s="43"/>
      <c r="DU100" s="43"/>
      <c r="DZ100" s="43"/>
      <c r="EH100" s="88"/>
      <c r="EL100" s="86"/>
      <c r="EN100" s="86"/>
      <c r="EO100" s="76"/>
      <c r="EP100" s="76"/>
      <c r="EQ100" s="88"/>
      <c r="ER100" s="88"/>
      <c r="ES100" s="88"/>
      <c r="ET100" s="88"/>
      <c r="EU100" s="99"/>
      <c r="EV100" s="99"/>
      <c r="EW100" s="99"/>
      <c r="EX100" s="99"/>
      <c r="EY100" s="99"/>
      <c r="EZ100" s="99"/>
      <c r="FA100" s="99"/>
      <c r="FB100" s="99"/>
      <c r="FC100" s="99"/>
      <c r="FD100" s="99"/>
      <c r="FE100" s="99"/>
      <c r="FF100" s="88"/>
      <c r="FX100" s="96"/>
      <c r="GO100" s="96"/>
    </row>
    <row r="101" spans="3:197" s="3" customFormat="1" ht="12">
      <c r="C101" s="176"/>
      <c r="D101" s="43"/>
      <c r="E101" s="43"/>
      <c r="F101" s="43"/>
      <c r="G101" s="43"/>
      <c r="H101" s="43"/>
      <c r="I101" s="43"/>
      <c r="J101" s="43"/>
      <c r="K101" s="26"/>
      <c r="L101" s="43"/>
      <c r="M101" s="43"/>
      <c r="N101" s="43"/>
      <c r="O101" s="43"/>
      <c r="P101" s="26"/>
      <c r="Q101" s="43"/>
      <c r="R101" s="43"/>
      <c r="S101" s="43"/>
      <c r="T101" s="43"/>
      <c r="U101" s="176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176"/>
      <c r="BE101" s="176"/>
      <c r="BF101" s="43"/>
      <c r="BG101" s="43"/>
      <c r="BH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3"/>
      <c r="BU101" s="43"/>
      <c r="BV101" s="43"/>
      <c r="BW101" s="43"/>
      <c r="BY101" s="43"/>
      <c r="CA101" s="43"/>
      <c r="CC101" s="43"/>
      <c r="CL101" s="43"/>
      <c r="CO101" s="97"/>
      <c r="CP101" s="98"/>
      <c r="CQ101" s="98"/>
      <c r="CR101" s="98"/>
      <c r="CS101" s="98"/>
      <c r="CW101" s="43"/>
      <c r="CX101" s="43"/>
      <c r="CY101" s="43"/>
      <c r="DB101" s="43"/>
      <c r="DG101" s="95"/>
      <c r="DH101" s="43"/>
      <c r="DI101" s="43"/>
      <c r="DJ101" s="43"/>
      <c r="DK101" s="43"/>
      <c r="DL101" s="26"/>
      <c r="DM101" s="26"/>
      <c r="DN101" s="43"/>
      <c r="DO101" s="43"/>
      <c r="DP101" s="43"/>
      <c r="DQ101" s="43"/>
      <c r="DR101" s="43"/>
      <c r="DS101" s="43"/>
      <c r="DT101" s="43"/>
      <c r="DU101" s="43"/>
      <c r="DW101" s="43"/>
      <c r="DX101" s="43"/>
      <c r="DY101" s="43"/>
      <c r="DZ101" s="43"/>
      <c r="EI101" s="43"/>
      <c r="EJ101" s="43"/>
      <c r="EL101" s="101"/>
      <c r="EN101" s="30"/>
      <c r="EO101" s="83"/>
      <c r="EP101" s="83"/>
      <c r="EQ101" s="88"/>
      <c r="ER101" s="88"/>
      <c r="ES101" s="88"/>
      <c r="ET101" s="88"/>
      <c r="EU101" s="99"/>
      <c r="EV101" s="99"/>
      <c r="EW101" s="99"/>
      <c r="EX101" s="99"/>
      <c r="EY101" s="99"/>
      <c r="EZ101" s="99"/>
      <c r="FA101" s="99"/>
      <c r="FB101" s="99"/>
      <c r="FC101" s="99"/>
      <c r="FD101" s="99"/>
      <c r="FE101" s="99"/>
      <c r="FF101" s="88"/>
      <c r="FX101" s="96"/>
      <c r="GO101" s="96"/>
    </row>
    <row r="102" spans="2:197" s="3" customFormat="1" ht="12">
      <c r="B102" s="43"/>
      <c r="C102" s="176"/>
      <c r="D102" s="43"/>
      <c r="E102" s="43"/>
      <c r="F102" s="43"/>
      <c r="G102" s="43"/>
      <c r="H102" s="43"/>
      <c r="I102" s="43"/>
      <c r="J102" s="43"/>
      <c r="K102" s="26"/>
      <c r="L102" s="43"/>
      <c r="M102" s="43"/>
      <c r="N102" s="43"/>
      <c r="O102" s="43"/>
      <c r="P102" s="26"/>
      <c r="Q102" s="43"/>
      <c r="R102" s="43"/>
      <c r="S102" s="43"/>
      <c r="T102" s="43"/>
      <c r="U102" s="172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176"/>
      <c r="BE102" s="176"/>
      <c r="BF102" s="43"/>
      <c r="BG102" s="43"/>
      <c r="BH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  <c r="BY102" s="43"/>
      <c r="CA102" s="43"/>
      <c r="CC102" s="43"/>
      <c r="CL102" s="43"/>
      <c r="CO102" s="97"/>
      <c r="CP102" s="79"/>
      <c r="CQ102" s="79"/>
      <c r="CR102" s="79"/>
      <c r="CS102" s="79"/>
      <c r="CW102" s="43"/>
      <c r="CX102" s="43"/>
      <c r="CY102" s="43"/>
      <c r="DB102" s="43"/>
      <c r="DG102" s="95"/>
      <c r="DH102" s="79"/>
      <c r="DI102" s="43"/>
      <c r="DJ102" s="79"/>
      <c r="DK102" s="79"/>
      <c r="DL102" s="26"/>
      <c r="DM102" s="26"/>
      <c r="DN102" s="43"/>
      <c r="DO102" s="43"/>
      <c r="DP102" s="43"/>
      <c r="DQ102" s="43"/>
      <c r="DR102" s="43"/>
      <c r="DS102" s="43"/>
      <c r="DT102" s="43"/>
      <c r="DU102" s="43"/>
      <c r="DY102" s="43"/>
      <c r="DZ102" s="43"/>
      <c r="EA102" s="43"/>
      <c r="EB102" s="43"/>
      <c r="EH102" s="43"/>
      <c r="EI102" s="43"/>
      <c r="EJ102" s="43"/>
      <c r="EK102" s="43"/>
      <c r="EL102" s="43"/>
      <c r="EM102" s="43"/>
      <c r="EN102" s="43"/>
      <c r="EO102" s="76"/>
      <c r="EP102" s="76"/>
      <c r="EQ102" s="88"/>
      <c r="ER102" s="88"/>
      <c r="ES102" s="88"/>
      <c r="ET102" s="88"/>
      <c r="EU102" s="90"/>
      <c r="EV102" s="90"/>
      <c r="EW102" s="90"/>
      <c r="EX102" s="90"/>
      <c r="EY102" s="90"/>
      <c r="EZ102" s="90"/>
      <c r="FA102" s="90"/>
      <c r="FB102" s="90"/>
      <c r="FC102" s="90"/>
      <c r="FD102" s="90"/>
      <c r="FE102" s="90"/>
      <c r="FF102" s="88"/>
      <c r="FX102" s="96"/>
      <c r="GO102" s="96"/>
    </row>
    <row r="103" spans="3:197" s="3" customFormat="1" ht="12">
      <c r="C103" s="176"/>
      <c r="D103" s="43"/>
      <c r="E103" s="43"/>
      <c r="F103" s="43"/>
      <c r="G103" s="43"/>
      <c r="H103" s="43"/>
      <c r="I103" s="43"/>
      <c r="J103" s="43"/>
      <c r="K103" s="26"/>
      <c r="L103" s="43"/>
      <c r="M103" s="43"/>
      <c r="N103" s="43"/>
      <c r="O103" s="43"/>
      <c r="P103" s="26"/>
      <c r="Q103" s="43"/>
      <c r="R103" s="43"/>
      <c r="S103" s="43"/>
      <c r="T103" s="43"/>
      <c r="U103" s="172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176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E103" s="176"/>
      <c r="BF103" s="43"/>
      <c r="BG103" s="43"/>
      <c r="BH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43"/>
      <c r="BW103" s="43"/>
      <c r="BY103" s="43"/>
      <c r="CA103" s="43"/>
      <c r="CC103" s="43"/>
      <c r="CL103" s="43"/>
      <c r="CO103" s="89"/>
      <c r="CP103" s="79"/>
      <c r="CQ103" s="79"/>
      <c r="CR103" s="79"/>
      <c r="CS103" s="79"/>
      <c r="CW103" s="43"/>
      <c r="CX103" s="43"/>
      <c r="CY103" s="43"/>
      <c r="DB103" s="43"/>
      <c r="DG103" s="95"/>
      <c r="DH103" s="79"/>
      <c r="DI103" s="79"/>
      <c r="DJ103" s="79"/>
      <c r="DK103" s="79"/>
      <c r="DL103" s="43"/>
      <c r="DM103" s="43"/>
      <c r="DN103" s="43"/>
      <c r="DO103" s="43"/>
      <c r="DP103" s="43"/>
      <c r="DQ103" s="43"/>
      <c r="DR103" s="43"/>
      <c r="DS103" s="43"/>
      <c r="DT103" s="43"/>
      <c r="DU103" s="43"/>
      <c r="DZ103" s="43"/>
      <c r="EN103" s="29"/>
      <c r="EO103" s="76"/>
      <c r="EP103" s="76"/>
      <c r="EQ103" s="88"/>
      <c r="ER103" s="88"/>
      <c r="ES103" s="88"/>
      <c r="ET103" s="88"/>
      <c r="EU103" s="90"/>
      <c r="EV103" s="90"/>
      <c r="EW103" s="90"/>
      <c r="EX103" s="90"/>
      <c r="EY103" s="90"/>
      <c r="EZ103" s="90"/>
      <c r="FA103" s="90"/>
      <c r="FB103" s="90"/>
      <c r="FC103" s="90"/>
      <c r="FD103" s="90"/>
      <c r="FE103" s="90"/>
      <c r="FF103" s="88"/>
      <c r="FX103" s="96"/>
      <c r="GO103" s="96"/>
    </row>
    <row r="104" spans="1:197" s="88" customFormat="1" ht="12">
      <c r="A104" s="102"/>
      <c r="B104" s="102"/>
      <c r="C104" s="172"/>
      <c r="D104" s="24"/>
      <c r="E104" s="79"/>
      <c r="F104" s="79"/>
      <c r="G104" s="24"/>
      <c r="H104" s="79"/>
      <c r="I104" s="79"/>
      <c r="J104" s="79"/>
      <c r="K104" s="24"/>
      <c r="L104" s="79"/>
      <c r="M104" s="79"/>
      <c r="N104" s="79"/>
      <c r="O104" s="79"/>
      <c r="P104" s="24"/>
      <c r="Q104" s="79"/>
      <c r="R104" s="79"/>
      <c r="S104" s="79"/>
      <c r="T104" s="79"/>
      <c r="U104" s="172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79"/>
      <c r="AJ104" s="79"/>
      <c r="AK104" s="79"/>
      <c r="AL104" s="79"/>
      <c r="AM104" s="172"/>
      <c r="AR104" s="79"/>
      <c r="AY104" s="79"/>
      <c r="BC104" s="79"/>
      <c r="BD104" s="79"/>
      <c r="BE104" s="172"/>
      <c r="BF104" s="79"/>
      <c r="BG104" s="79"/>
      <c r="BH104" s="79"/>
      <c r="BJ104" s="79"/>
      <c r="BK104" s="79"/>
      <c r="BL104" s="79"/>
      <c r="BM104" s="79"/>
      <c r="BN104" s="79"/>
      <c r="BO104" s="79"/>
      <c r="BP104" s="79"/>
      <c r="BQ104" s="79"/>
      <c r="BR104" s="79"/>
      <c r="BS104" s="79"/>
      <c r="BT104" s="79"/>
      <c r="BU104" s="79"/>
      <c r="BV104" s="79"/>
      <c r="BW104" s="89"/>
      <c r="BX104" s="79"/>
      <c r="BY104" s="79"/>
      <c r="CA104" s="79"/>
      <c r="CG104" s="79"/>
      <c r="CL104" s="79"/>
      <c r="CO104" s="89"/>
      <c r="CP104" s="79"/>
      <c r="CQ104" s="79"/>
      <c r="CR104" s="79"/>
      <c r="CS104" s="79"/>
      <c r="CU104" s="79"/>
      <c r="CW104" s="79"/>
      <c r="CY104" s="79"/>
      <c r="DG104" s="89"/>
      <c r="DH104" s="79"/>
      <c r="DI104" s="79"/>
      <c r="DJ104" s="79"/>
      <c r="DK104" s="79"/>
      <c r="DL104" s="24"/>
      <c r="DM104" s="24"/>
      <c r="DN104" s="79"/>
      <c r="DO104" s="79"/>
      <c r="DP104" s="79"/>
      <c r="DQ104" s="79"/>
      <c r="DR104" s="79"/>
      <c r="DS104" s="79"/>
      <c r="DT104" s="79"/>
      <c r="DU104" s="79"/>
      <c r="DV104" s="34"/>
      <c r="DW104" s="80"/>
      <c r="DX104" s="80"/>
      <c r="DZ104" s="79"/>
      <c r="EC104" s="90"/>
      <c r="ED104" s="90"/>
      <c r="EE104" s="90"/>
      <c r="EF104" s="90"/>
      <c r="EG104" s="90"/>
      <c r="EN104" s="81"/>
      <c r="EO104" s="76"/>
      <c r="EP104" s="76"/>
      <c r="EU104" s="90"/>
      <c r="EV104" s="90"/>
      <c r="EW104" s="90"/>
      <c r="EX104" s="90"/>
      <c r="EY104" s="90"/>
      <c r="EZ104" s="90"/>
      <c r="FA104" s="90"/>
      <c r="FB104" s="90"/>
      <c r="FC104" s="90"/>
      <c r="FD104" s="90"/>
      <c r="FE104" s="90"/>
      <c r="FX104" s="96"/>
      <c r="GO104" s="96"/>
    </row>
    <row r="105" spans="1:197" s="3" customFormat="1" ht="12">
      <c r="A105" s="103"/>
      <c r="B105" s="103"/>
      <c r="C105" s="172"/>
      <c r="D105" s="26"/>
      <c r="E105" s="43"/>
      <c r="F105" s="43"/>
      <c r="G105" s="26"/>
      <c r="H105" s="43"/>
      <c r="I105" s="43"/>
      <c r="J105" s="43"/>
      <c r="K105" s="26"/>
      <c r="L105" s="26"/>
      <c r="M105" s="43"/>
      <c r="N105" s="43"/>
      <c r="O105" s="43"/>
      <c r="P105" s="26"/>
      <c r="Q105" s="43"/>
      <c r="R105" s="43"/>
      <c r="S105" s="43"/>
      <c r="T105" s="43"/>
      <c r="U105" s="172"/>
      <c r="V105" s="79"/>
      <c r="W105" s="79"/>
      <c r="X105" s="79"/>
      <c r="Y105" s="79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176"/>
      <c r="AN105" s="43"/>
      <c r="AO105" s="43"/>
      <c r="AP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E105" s="172"/>
      <c r="BF105" s="43"/>
      <c r="BG105" s="43"/>
      <c r="BH105" s="43"/>
      <c r="BI105" s="88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43"/>
      <c r="BW105" s="79"/>
      <c r="BY105" s="43"/>
      <c r="CA105" s="43"/>
      <c r="CH105" s="88"/>
      <c r="CK105" s="88"/>
      <c r="CL105" s="79"/>
      <c r="CO105" s="89"/>
      <c r="CP105" s="79"/>
      <c r="CQ105" s="79"/>
      <c r="CR105" s="79"/>
      <c r="CS105" s="79"/>
      <c r="CT105" s="88"/>
      <c r="CU105" s="88"/>
      <c r="CV105" s="88"/>
      <c r="CW105" s="79"/>
      <c r="CX105" s="79"/>
      <c r="CY105" s="88"/>
      <c r="CZ105" s="88"/>
      <c r="DA105" s="88"/>
      <c r="DB105" s="88"/>
      <c r="DC105" s="88"/>
      <c r="DD105" s="79"/>
      <c r="DE105" s="88"/>
      <c r="DF105" s="88"/>
      <c r="DG105" s="89"/>
      <c r="DH105" s="79"/>
      <c r="DI105" s="79"/>
      <c r="DJ105" s="79"/>
      <c r="DK105" s="79"/>
      <c r="DL105" s="26"/>
      <c r="DM105" s="26"/>
      <c r="DN105" s="43"/>
      <c r="DO105" s="43"/>
      <c r="DP105" s="43"/>
      <c r="DQ105" s="43"/>
      <c r="DR105" s="43"/>
      <c r="DS105" s="43"/>
      <c r="DT105" s="43"/>
      <c r="DU105" s="43"/>
      <c r="DY105" s="88"/>
      <c r="DZ105" s="79"/>
      <c r="EA105" s="88"/>
      <c r="EB105" s="88"/>
      <c r="EH105" s="88"/>
      <c r="EI105" s="88"/>
      <c r="EO105" s="76"/>
      <c r="EP105" s="76"/>
      <c r="EQ105" s="88"/>
      <c r="ER105" s="88"/>
      <c r="ES105" s="88"/>
      <c r="ET105" s="88"/>
      <c r="EU105" s="90"/>
      <c r="EV105" s="90"/>
      <c r="EW105" s="90"/>
      <c r="EX105" s="90"/>
      <c r="EY105" s="90"/>
      <c r="EZ105" s="90"/>
      <c r="FA105" s="90"/>
      <c r="FB105" s="90"/>
      <c r="FC105" s="90"/>
      <c r="FD105" s="90"/>
      <c r="FE105" s="90"/>
      <c r="FF105" s="88"/>
      <c r="FX105" s="96"/>
      <c r="GO105" s="96"/>
    </row>
    <row r="106" spans="1:197" s="3" customFormat="1" ht="12">
      <c r="A106" s="104"/>
      <c r="B106" s="104"/>
      <c r="C106" s="176"/>
      <c r="D106" s="26"/>
      <c r="E106" s="43"/>
      <c r="F106" s="43"/>
      <c r="G106" s="26"/>
      <c r="H106" s="43"/>
      <c r="I106" s="43"/>
      <c r="J106" s="43"/>
      <c r="K106" s="26"/>
      <c r="L106" s="26"/>
      <c r="M106" s="43"/>
      <c r="N106" s="43"/>
      <c r="O106" s="43"/>
      <c r="P106" s="26"/>
      <c r="Q106" s="43"/>
      <c r="R106" s="43"/>
      <c r="S106" s="43"/>
      <c r="T106" s="43"/>
      <c r="U106" s="176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176"/>
      <c r="AW106" s="43"/>
      <c r="BE106" s="176"/>
      <c r="BF106" s="43"/>
      <c r="BG106" s="43"/>
      <c r="BH106" s="43"/>
      <c r="BJ106" s="43"/>
      <c r="BK106" s="43"/>
      <c r="BL106" s="43"/>
      <c r="BM106" s="43"/>
      <c r="BN106" s="43"/>
      <c r="BO106" s="43"/>
      <c r="BP106" s="43"/>
      <c r="BQ106" s="43"/>
      <c r="BR106" s="43"/>
      <c r="BS106" s="43"/>
      <c r="BT106" s="43"/>
      <c r="BU106" s="43"/>
      <c r="BV106" s="43"/>
      <c r="BW106" s="43"/>
      <c r="BY106" s="43"/>
      <c r="CA106" s="43"/>
      <c r="CL106" s="43"/>
      <c r="CO106" s="97"/>
      <c r="CP106" s="98"/>
      <c r="CQ106" s="98"/>
      <c r="CR106" s="98"/>
      <c r="CS106" s="98"/>
      <c r="DG106" s="95"/>
      <c r="DH106" s="43"/>
      <c r="DI106" s="43"/>
      <c r="DJ106" s="43"/>
      <c r="DK106" s="43"/>
      <c r="DL106" s="26"/>
      <c r="DM106" s="26"/>
      <c r="DN106" s="43"/>
      <c r="DO106" s="43"/>
      <c r="DP106" s="43"/>
      <c r="DQ106" s="43"/>
      <c r="DR106" s="43"/>
      <c r="DS106" s="43"/>
      <c r="DT106" s="43"/>
      <c r="DU106" s="43"/>
      <c r="DW106" s="43"/>
      <c r="DX106" s="43"/>
      <c r="DZ106" s="43"/>
      <c r="EF106" s="43"/>
      <c r="EH106" s="43"/>
      <c r="EO106" s="84"/>
      <c r="EP106" s="84"/>
      <c r="EQ106" s="88"/>
      <c r="ER106" s="88"/>
      <c r="ES106" s="88"/>
      <c r="ET106" s="88"/>
      <c r="EU106" s="99"/>
      <c r="EV106" s="99"/>
      <c r="EW106" s="99"/>
      <c r="EX106" s="99"/>
      <c r="EY106" s="99"/>
      <c r="EZ106" s="99"/>
      <c r="FA106" s="99"/>
      <c r="FB106" s="99"/>
      <c r="FC106" s="99"/>
      <c r="FD106" s="99"/>
      <c r="FE106" s="99"/>
      <c r="FF106" s="88"/>
      <c r="FX106" s="96"/>
      <c r="GO106" s="96"/>
    </row>
    <row r="107" spans="3:197" s="3" customFormat="1" ht="12">
      <c r="C107" s="176"/>
      <c r="D107" s="26"/>
      <c r="E107" s="43"/>
      <c r="F107" s="43"/>
      <c r="G107" s="26"/>
      <c r="H107" s="43"/>
      <c r="I107" s="43"/>
      <c r="J107" s="43"/>
      <c r="K107" s="26"/>
      <c r="L107" s="26"/>
      <c r="M107" s="43"/>
      <c r="N107" s="43"/>
      <c r="O107" s="43"/>
      <c r="P107" s="26"/>
      <c r="Q107" s="43"/>
      <c r="R107" s="43"/>
      <c r="S107" s="43"/>
      <c r="T107" s="43"/>
      <c r="U107" s="176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176"/>
      <c r="BB107" s="43"/>
      <c r="BE107" s="176"/>
      <c r="BF107" s="43"/>
      <c r="BG107" s="43"/>
      <c r="BH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Y107" s="43"/>
      <c r="CA107" s="43"/>
      <c r="CB107" s="43"/>
      <c r="CG107" s="43"/>
      <c r="CL107" s="43"/>
      <c r="CN107" s="43"/>
      <c r="CO107" s="97"/>
      <c r="CP107" s="98"/>
      <c r="CQ107" s="98"/>
      <c r="CR107" s="98"/>
      <c r="CS107" s="98"/>
      <c r="CU107" s="43"/>
      <c r="CV107" s="105"/>
      <c r="CX107" s="43"/>
      <c r="CY107" s="43"/>
      <c r="DC107" s="43"/>
      <c r="DG107" s="95"/>
      <c r="DH107" s="43"/>
      <c r="DI107" s="43"/>
      <c r="DJ107" s="43"/>
      <c r="DK107" s="43"/>
      <c r="DL107" s="26"/>
      <c r="DM107" s="26"/>
      <c r="DN107" s="43"/>
      <c r="DO107" s="43"/>
      <c r="DP107" s="43"/>
      <c r="DQ107" s="43"/>
      <c r="DR107" s="43"/>
      <c r="DY107" s="43"/>
      <c r="DZ107" s="43"/>
      <c r="EF107" s="43"/>
      <c r="EH107" s="43"/>
      <c r="EO107" s="85"/>
      <c r="EP107" s="85"/>
      <c r="EQ107" s="88"/>
      <c r="ER107" s="88"/>
      <c r="ES107" s="88"/>
      <c r="ET107" s="88"/>
      <c r="EU107" s="99"/>
      <c r="EV107" s="99"/>
      <c r="EW107" s="99"/>
      <c r="EX107" s="99"/>
      <c r="EY107" s="99"/>
      <c r="EZ107" s="99"/>
      <c r="FA107" s="99"/>
      <c r="FB107" s="99"/>
      <c r="FC107" s="99"/>
      <c r="FD107" s="99"/>
      <c r="FE107" s="99"/>
      <c r="FF107" s="88"/>
      <c r="FX107" s="96"/>
      <c r="GO107" s="96"/>
    </row>
    <row r="108" spans="1:197" s="3" customFormat="1" ht="12">
      <c r="A108" s="103"/>
      <c r="B108" s="103"/>
      <c r="C108" s="176"/>
      <c r="D108" s="26"/>
      <c r="E108" s="43"/>
      <c r="F108" s="43"/>
      <c r="G108" s="26"/>
      <c r="H108" s="43"/>
      <c r="I108" s="43"/>
      <c r="J108" s="43"/>
      <c r="K108" s="26"/>
      <c r="L108" s="26"/>
      <c r="M108" s="43"/>
      <c r="N108" s="43"/>
      <c r="O108" s="43"/>
      <c r="P108" s="26"/>
      <c r="Q108" s="43"/>
      <c r="R108" s="43"/>
      <c r="S108" s="43"/>
      <c r="T108" s="43"/>
      <c r="U108" s="176"/>
      <c r="V108" s="43"/>
      <c r="W108" s="43"/>
      <c r="X108" s="43"/>
      <c r="Y108" s="43"/>
      <c r="AC108" s="43"/>
      <c r="AD108" s="43"/>
      <c r="AE108" s="43"/>
      <c r="AF108" s="43"/>
      <c r="AG108" s="43"/>
      <c r="AH108" s="43"/>
      <c r="AM108" s="176"/>
      <c r="BE108" s="176"/>
      <c r="BF108" s="43"/>
      <c r="BG108" s="43"/>
      <c r="BH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  <c r="BW108" s="43"/>
      <c r="BY108" s="43"/>
      <c r="CA108" s="43"/>
      <c r="CL108" s="43"/>
      <c r="CN108" s="43"/>
      <c r="CO108" s="97"/>
      <c r="CP108" s="98"/>
      <c r="CQ108" s="98"/>
      <c r="CR108" s="98"/>
      <c r="CS108" s="98"/>
      <c r="DG108" s="95"/>
      <c r="DH108" s="43"/>
      <c r="DI108" s="43"/>
      <c r="DJ108" s="43"/>
      <c r="DK108" s="43"/>
      <c r="DL108" s="26"/>
      <c r="DM108" s="26"/>
      <c r="DN108" s="43"/>
      <c r="DO108" s="43"/>
      <c r="DP108" s="43"/>
      <c r="DQ108" s="43"/>
      <c r="DR108" s="43"/>
      <c r="DZ108" s="43"/>
      <c r="EM108" s="88"/>
      <c r="EO108" s="84"/>
      <c r="EP108" s="84"/>
      <c r="EQ108" s="88"/>
      <c r="ER108" s="88"/>
      <c r="ES108" s="88"/>
      <c r="ET108" s="88"/>
      <c r="EU108" s="99"/>
      <c r="EV108" s="99"/>
      <c r="EW108" s="99"/>
      <c r="EX108" s="99"/>
      <c r="EY108" s="99"/>
      <c r="EZ108" s="99"/>
      <c r="FA108" s="99"/>
      <c r="FB108" s="99"/>
      <c r="FC108" s="99"/>
      <c r="FD108" s="99"/>
      <c r="FE108" s="99"/>
      <c r="FF108" s="88"/>
      <c r="FX108" s="96"/>
      <c r="GO108" s="96"/>
    </row>
    <row r="109" spans="1:197" s="3" customFormat="1" ht="12">
      <c r="A109" s="104"/>
      <c r="B109" s="104"/>
      <c r="C109" s="176"/>
      <c r="D109" s="26"/>
      <c r="E109" s="43"/>
      <c r="F109" s="43"/>
      <c r="G109" s="26"/>
      <c r="H109" s="43"/>
      <c r="I109" s="43"/>
      <c r="J109" s="43"/>
      <c r="K109" s="26"/>
      <c r="L109" s="26"/>
      <c r="M109" s="43"/>
      <c r="N109" s="43"/>
      <c r="O109" s="43"/>
      <c r="P109" s="26"/>
      <c r="Q109" s="43"/>
      <c r="R109" s="43"/>
      <c r="S109" s="43"/>
      <c r="T109" s="43"/>
      <c r="U109" s="176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176"/>
      <c r="AZ109" s="43"/>
      <c r="BE109" s="176"/>
      <c r="BF109" s="43"/>
      <c r="BG109" s="43"/>
      <c r="BH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  <c r="BV109" s="43"/>
      <c r="BW109" s="43"/>
      <c r="BY109" s="43"/>
      <c r="BZ109" s="43"/>
      <c r="CA109" s="43"/>
      <c r="CN109" s="43"/>
      <c r="CO109" s="97"/>
      <c r="CP109" s="98"/>
      <c r="CQ109" s="98"/>
      <c r="CR109" s="98"/>
      <c r="CS109" s="98"/>
      <c r="CU109" s="43"/>
      <c r="CV109" s="43"/>
      <c r="DG109" s="95"/>
      <c r="DH109" s="43"/>
      <c r="DI109" s="43"/>
      <c r="DJ109" s="43"/>
      <c r="DK109" s="43"/>
      <c r="DL109" s="26"/>
      <c r="DM109" s="26"/>
      <c r="DN109" s="43"/>
      <c r="DO109" s="101"/>
      <c r="DP109" s="101"/>
      <c r="DQ109" s="101"/>
      <c r="DR109" s="101"/>
      <c r="DZ109" s="43"/>
      <c r="EH109" s="43"/>
      <c r="EO109" s="85"/>
      <c r="EP109" s="85"/>
      <c r="EQ109" s="88"/>
      <c r="ER109" s="88"/>
      <c r="ES109" s="88"/>
      <c r="ET109" s="88"/>
      <c r="EU109" s="99"/>
      <c r="EV109" s="99"/>
      <c r="EW109" s="99"/>
      <c r="EX109" s="99"/>
      <c r="EY109" s="99"/>
      <c r="EZ109" s="99"/>
      <c r="FA109" s="99"/>
      <c r="FB109" s="99"/>
      <c r="FC109" s="99"/>
      <c r="FD109" s="99"/>
      <c r="FE109" s="99"/>
      <c r="FF109" s="88"/>
      <c r="FX109" s="96"/>
      <c r="GO109" s="96"/>
    </row>
    <row r="110" spans="1:197" s="3" customFormat="1" ht="12">
      <c r="A110" s="104"/>
      <c r="B110" s="104"/>
      <c r="C110" s="176"/>
      <c r="D110" s="26"/>
      <c r="E110" s="43"/>
      <c r="F110" s="43"/>
      <c r="G110" s="26"/>
      <c r="H110" s="43"/>
      <c r="I110" s="43"/>
      <c r="J110" s="43"/>
      <c r="K110" s="26"/>
      <c r="L110" s="26"/>
      <c r="M110" s="43"/>
      <c r="N110" s="43"/>
      <c r="O110" s="43"/>
      <c r="P110" s="26"/>
      <c r="Q110" s="43"/>
      <c r="R110" s="43"/>
      <c r="S110" s="43"/>
      <c r="T110" s="43"/>
      <c r="U110" s="176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176"/>
      <c r="BE110" s="176"/>
      <c r="BF110" s="43"/>
      <c r="BG110" s="43"/>
      <c r="BH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43"/>
      <c r="BU110" s="43"/>
      <c r="BV110" s="43"/>
      <c r="BW110" s="43"/>
      <c r="BY110" s="43"/>
      <c r="CA110" s="43"/>
      <c r="CL110" s="43"/>
      <c r="CN110" s="43"/>
      <c r="CO110" s="97"/>
      <c r="CP110" s="98"/>
      <c r="CQ110" s="98"/>
      <c r="CR110" s="98"/>
      <c r="CS110" s="98"/>
      <c r="DG110" s="95"/>
      <c r="DH110" s="43"/>
      <c r="DI110" s="79"/>
      <c r="DJ110" s="43"/>
      <c r="DK110" s="43"/>
      <c r="DL110" s="26"/>
      <c r="DM110" s="26"/>
      <c r="DN110" s="43"/>
      <c r="DO110" s="101"/>
      <c r="DP110" s="101"/>
      <c r="DQ110" s="101"/>
      <c r="DR110" s="101"/>
      <c r="DZ110" s="43"/>
      <c r="EO110" s="84"/>
      <c r="EP110" s="84"/>
      <c r="EQ110" s="88"/>
      <c r="ER110" s="88"/>
      <c r="ES110" s="88"/>
      <c r="ET110" s="88"/>
      <c r="EU110" s="99"/>
      <c r="EV110" s="99"/>
      <c r="EW110" s="99"/>
      <c r="EX110" s="99"/>
      <c r="EY110" s="99"/>
      <c r="EZ110" s="99"/>
      <c r="FA110" s="99"/>
      <c r="FB110" s="99"/>
      <c r="FC110" s="99"/>
      <c r="FD110" s="99"/>
      <c r="FE110" s="99"/>
      <c r="FF110" s="88"/>
      <c r="FX110" s="96"/>
      <c r="GO110" s="96"/>
    </row>
    <row r="111" spans="1:197" s="3" customFormat="1" ht="12">
      <c r="A111" s="104"/>
      <c r="B111" s="104"/>
      <c r="C111" s="176"/>
      <c r="D111" s="26"/>
      <c r="E111" s="43"/>
      <c r="F111" s="43"/>
      <c r="G111" s="26"/>
      <c r="H111" s="43"/>
      <c r="I111" s="43"/>
      <c r="J111" s="43"/>
      <c r="K111" s="26"/>
      <c r="L111" s="26"/>
      <c r="M111" s="43"/>
      <c r="N111" s="43"/>
      <c r="O111" s="43"/>
      <c r="P111" s="26"/>
      <c r="Q111" s="43"/>
      <c r="R111" s="43"/>
      <c r="S111" s="43"/>
      <c r="T111" s="43"/>
      <c r="U111" s="176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176"/>
      <c r="BA111" s="43"/>
      <c r="BE111" s="176"/>
      <c r="BF111" s="43"/>
      <c r="BG111" s="43"/>
      <c r="BH111" s="43"/>
      <c r="BJ111" s="43"/>
      <c r="BK111" s="43"/>
      <c r="BL111" s="43"/>
      <c r="BM111" s="43"/>
      <c r="BN111" s="43"/>
      <c r="BO111" s="43"/>
      <c r="BP111" s="43"/>
      <c r="BQ111" s="43"/>
      <c r="BR111" s="43"/>
      <c r="BS111" s="43"/>
      <c r="BT111" s="43"/>
      <c r="BU111" s="43"/>
      <c r="BV111" s="43"/>
      <c r="BW111" s="43"/>
      <c r="BY111" s="43"/>
      <c r="CA111" s="43"/>
      <c r="CL111" s="43"/>
      <c r="CN111" s="43"/>
      <c r="CO111" s="97"/>
      <c r="CP111" s="98"/>
      <c r="CQ111" s="98"/>
      <c r="CR111" s="98"/>
      <c r="CS111" s="98"/>
      <c r="CX111" s="43"/>
      <c r="CY111" s="43"/>
      <c r="DA111" s="43"/>
      <c r="DG111" s="95"/>
      <c r="DH111" s="43"/>
      <c r="DI111" s="43"/>
      <c r="DJ111" s="43"/>
      <c r="DK111" s="43"/>
      <c r="DL111" s="26"/>
      <c r="DM111" s="26"/>
      <c r="DN111" s="43"/>
      <c r="DO111" s="43"/>
      <c r="DP111" s="43"/>
      <c r="DQ111" s="43"/>
      <c r="DR111" s="43"/>
      <c r="DZ111" s="43"/>
      <c r="EK111" s="43"/>
      <c r="EO111" s="84"/>
      <c r="EP111" s="84"/>
      <c r="EQ111" s="88"/>
      <c r="ER111" s="88"/>
      <c r="ES111" s="88"/>
      <c r="ET111" s="88"/>
      <c r="EU111" s="99"/>
      <c r="EV111" s="99"/>
      <c r="EW111" s="99"/>
      <c r="EX111" s="99"/>
      <c r="EY111" s="99"/>
      <c r="EZ111" s="99"/>
      <c r="FA111" s="99"/>
      <c r="FB111" s="99"/>
      <c r="FC111" s="99"/>
      <c r="FD111" s="99"/>
      <c r="FE111" s="99"/>
      <c r="FF111" s="88"/>
      <c r="FX111" s="96"/>
      <c r="GO111" s="96"/>
    </row>
    <row r="112" spans="1:197" s="3" customFormat="1" ht="12">
      <c r="A112" s="103"/>
      <c r="B112" s="103"/>
      <c r="C112" s="176"/>
      <c r="D112" s="26"/>
      <c r="E112" s="43"/>
      <c r="F112" s="43"/>
      <c r="G112" s="26"/>
      <c r="H112" s="43"/>
      <c r="I112" s="43"/>
      <c r="J112" s="43"/>
      <c r="K112" s="26"/>
      <c r="L112" s="26"/>
      <c r="M112" s="43"/>
      <c r="N112" s="43"/>
      <c r="O112" s="43"/>
      <c r="P112" s="26"/>
      <c r="Q112" s="43"/>
      <c r="R112" s="43"/>
      <c r="S112" s="43"/>
      <c r="T112" s="43"/>
      <c r="U112" s="176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176"/>
      <c r="BE112" s="176"/>
      <c r="BF112" s="43"/>
      <c r="BG112" s="43"/>
      <c r="BH112" s="43"/>
      <c r="BJ112" s="43"/>
      <c r="BK112" s="43"/>
      <c r="BL112" s="43"/>
      <c r="BM112" s="43"/>
      <c r="BN112" s="43"/>
      <c r="BO112" s="43"/>
      <c r="BP112" s="43"/>
      <c r="BQ112" s="43"/>
      <c r="BR112" s="43"/>
      <c r="BS112" s="43"/>
      <c r="BT112" s="43"/>
      <c r="BU112" s="43"/>
      <c r="BV112" s="43"/>
      <c r="BY112" s="43"/>
      <c r="CA112" s="43"/>
      <c r="CL112" s="43"/>
      <c r="CN112" s="43"/>
      <c r="CO112" s="97"/>
      <c r="CP112" s="98"/>
      <c r="CQ112" s="98"/>
      <c r="CR112" s="98"/>
      <c r="CS112" s="98"/>
      <c r="CX112" s="43"/>
      <c r="CY112" s="43"/>
      <c r="DG112" s="89"/>
      <c r="DH112" s="79"/>
      <c r="DI112" s="43"/>
      <c r="DJ112" s="43"/>
      <c r="DK112" s="43"/>
      <c r="DL112" s="26"/>
      <c r="DM112" s="26"/>
      <c r="DN112" s="43"/>
      <c r="DO112" s="43"/>
      <c r="DP112" s="43"/>
      <c r="DQ112" s="43"/>
      <c r="DR112" s="43"/>
      <c r="DS112" s="86"/>
      <c r="DT112" s="86"/>
      <c r="DZ112" s="43"/>
      <c r="EO112" s="84"/>
      <c r="EP112" s="84"/>
      <c r="EQ112" s="88"/>
      <c r="ER112" s="88"/>
      <c r="ES112" s="88"/>
      <c r="ET112" s="88"/>
      <c r="EU112" s="99"/>
      <c r="EV112" s="99"/>
      <c r="EW112" s="99"/>
      <c r="EX112" s="99"/>
      <c r="EY112" s="99"/>
      <c r="EZ112" s="99"/>
      <c r="FA112" s="99"/>
      <c r="FB112" s="99"/>
      <c r="FC112" s="99"/>
      <c r="FD112" s="99"/>
      <c r="FE112" s="99"/>
      <c r="FF112" s="88"/>
      <c r="FX112" s="96"/>
      <c r="GO112" s="96"/>
    </row>
    <row r="113" spans="1:197" s="3" customFormat="1" ht="12">
      <c r="A113" s="103"/>
      <c r="B113" s="103"/>
      <c r="C113" s="176"/>
      <c r="D113" s="26"/>
      <c r="E113" s="43"/>
      <c r="F113" s="43"/>
      <c r="G113" s="26"/>
      <c r="H113" s="43"/>
      <c r="I113" s="43"/>
      <c r="J113" s="43"/>
      <c r="K113" s="26"/>
      <c r="L113" s="26"/>
      <c r="M113" s="43"/>
      <c r="N113" s="43"/>
      <c r="O113" s="43"/>
      <c r="P113" s="26"/>
      <c r="Q113" s="43"/>
      <c r="R113" s="43"/>
      <c r="S113" s="43"/>
      <c r="T113" s="43"/>
      <c r="U113" s="176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176"/>
      <c r="AS113" s="43"/>
      <c r="AX113" s="43"/>
      <c r="BE113" s="176"/>
      <c r="BF113" s="43"/>
      <c r="BG113" s="43"/>
      <c r="BH113" s="43"/>
      <c r="BJ113" s="43"/>
      <c r="BK113" s="43"/>
      <c r="BL113" s="43"/>
      <c r="BM113" s="43"/>
      <c r="BN113" s="43"/>
      <c r="BO113" s="43"/>
      <c r="BP113" s="43"/>
      <c r="BQ113" s="43"/>
      <c r="BR113" s="43"/>
      <c r="BS113" s="43"/>
      <c r="BT113" s="43"/>
      <c r="BU113" s="43"/>
      <c r="BV113" s="43"/>
      <c r="BW113" s="43"/>
      <c r="BY113" s="43"/>
      <c r="CA113" s="43"/>
      <c r="CC113" s="43"/>
      <c r="CD113" s="43"/>
      <c r="CL113" s="43"/>
      <c r="CN113" s="43"/>
      <c r="CO113" s="97"/>
      <c r="CP113" s="98"/>
      <c r="CQ113" s="98"/>
      <c r="CR113" s="98"/>
      <c r="CS113" s="98"/>
      <c r="CT113" s="86"/>
      <c r="CU113" s="86"/>
      <c r="CV113" s="86"/>
      <c r="CW113" s="101"/>
      <c r="CX113" s="43"/>
      <c r="CY113" s="43"/>
      <c r="DA113" s="86"/>
      <c r="DB113" s="86"/>
      <c r="DC113" s="86"/>
      <c r="DD113" s="86"/>
      <c r="DG113" s="95"/>
      <c r="DH113" s="43"/>
      <c r="DI113" s="43"/>
      <c r="DJ113" s="43"/>
      <c r="DK113" s="43"/>
      <c r="DL113" s="26"/>
      <c r="DM113" s="26"/>
      <c r="DN113" s="43"/>
      <c r="DO113" s="43"/>
      <c r="DP113" s="43"/>
      <c r="DQ113" s="43"/>
      <c r="DR113" s="43"/>
      <c r="DS113" s="43"/>
      <c r="DT113" s="43"/>
      <c r="DU113" s="43"/>
      <c r="DZ113" s="43"/>
      <c r="EI113" s="43"/>
      <c r="EO113" s="84"/>
      <c r="EP113" s="84"/>
      <c r="EQ113" s="88"/>
      <c r="ER113" s="88"/>
      <c r="ES113" s="88"/>
      <c r="ET113" s="88"/>
      <c r="EU113" s="99"/>
      <c r="EV113" s="99"/>
      <c r="EW113" s="99"/>
      <c r="EX113" s="99"/>
      <c r="EY113" s="99"/>
      <c r="EZ113" s="99"/>
      <c r="FA113" s="99"/>
      <c r="FB113" s="99"/>
      <c r="FC113" s="99"/>
      <c r="FD113" s="99"/>
      <c r="FE113" s="99"/>
      <c r="FF113" s="88"/>
      <c r="FX113" s="96"/>
      <c r="GO113" s="96"/>
    </row>
    <row r="114" spans="1:197" s="3" customFormat="1" ht="12">
      <c r="A114" s="103"/>
      <c r="B114" s="103"/>
      <c r="C114" s="176"/>
      <c r="D114" s="26"/>
      <c r="E114" s="43"/>
      <c r="F114" s="43"/>
      <c r="G114" s="26"/>
      <c r="H114" s="43"/>
      <c r="I114" s="43"/>
      <c r="J114" s="43"/>
      <c r="K114" s="26"/>
      <c r="L114" s="26"/>
      <c r="M114" s="43"/>
      <c r="N114" s="43"/>
      <c r="O114" s="43"/>
      <c r="P114" s="26"/>
      <c r="Q114" s="43"/>
      <c r="R114" s="43"/>
      <c r="S114" s="43"/>
      <c r="T114" s="43"/>
      <c r="U114" s="176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176"/>
      <c r="BE114" s="176"/>
      <c r="BF114" s="43"/>
      <c r="BG114" s="43"/>
      <c r="BH114" s="43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T114" s="43"/>
      <c r="BU114" s="43"/>
      <c r="BV114" s="43"/>
      <c r="BW114" s="43"/>
      <c r="BY114" s="43"/>
      <c r="CA114" s="43"/>
      <c r="CL114" s="43"/>
      <c r="CN114" s="43"/>
      <c r="CO114" s="97"/>
      <c r="CP114" s="98"/>
      <c r="CQ114" s="98"/>
      <c r="CR114" s="98"/>
      <c r="CS114" s="98"/>
      <c r="CT114" s="86"/>
      <c r="CU114" s="86"/>
      <c r="CV114" s="86"/>
      <c r="CW114" s="86"/>
      <c r="CZ114" s="86"/>
      <c r="DA114" s="86"/>
      <c r="DB114" s="86"/>
      <c r="DC114" s="86"/>
      <c r="DD114" s="86"/>
      <c r="DG114" s="95"/>
      <c r="DH114" s="43"/>
      <c r="DI114" s="43"/>
      <c r="DJ114" s="43"/>
      <c r="DK114" s="43"/>
      <c r="DL114" s="26"/>
      <c r="DM114" s="26"/>
      <c r="DN114" s="43"/>
      <c r="DO114" s="43"/>
      <c r="DP114" s="43"/>
      <c r="DQ114" s="43"/>
      <c r="DR114" s="43"/>
      <c r="DS114" s="26"/>
      <c r="DT114" s="26"/>
      <c r="DU114" s="43"/>
      <c r="DZ114" s="43"/>
      <c r="EH114" s="43"/>
      <c r="EI114" s="43"/>
      <c r="EM114" s="43"/>
      <c r="EO114" s="84"/>
      <c r="EP114" s="84"/>
      <c r="EQ114" s="88"/>
      <c r="ER114" s="88"/>
      <c r="ES114" s="88"/>
      <c r="ET114" s="88"/>
      <c r="EU114" s="99"/>
      <c r="EV114" s="99"/>
      <c r="EW114" s="99"/>
      <c r="EX114" s="99"/>
      <c r="EY114" s="99"/>
      <c r="EZ114" s="99"/>
      <c r="FA114" s="99"/>
      <c r="FB114" s="99"/>
      <c r="FC114" s="99"/>
      <c r="FD114" s="99"/>
      <c r="FE114" s="99"/>
      <c r="FF114" s="88"/>
      <c r="FX114" s="96"/>
      <c r="GO114" s="96"/>
    </row>
    <row r="115" spans="1:197" s="3" customFormat="1" ht="12">
      <c r="A115" s="103"/>
      <c r="B115" s="103"/>
      <c r="C115" s="176"/>
      <c r="D115" s="29"/>
      <c r="E115" s="101"/>
      <c r="F115" s="101"/>
      <c r="G115" s="29"/>
      <c r="H115" s="101"/>
      <c r="I115" s="101"/>
      <c r="J115" s="101"/>
      <c r="K115" s="29"/>
      <c r="L115" s="29"/>
      <c r="M115" s="101"/>
      <c r="N115" s="101"/>
      <c r="O115" s="101"/>
      <c r="P115" s="29"/>
      <c r="Q115" s="101"/>
      <c r="R115" s="101"/>
      <c r="S115" s="101"/>
      <c r="T115" s="101"/>
      <c r="U115" s="176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182"/>
      <c r="AN115" s="101"/>
      <c r="AO115" s="86"/>
      <c r="AP115" s="86"/>
      <c r="AQ115" s="86"/>
      <c r="AR115" s="86"/>
      <c r="AS115" s="86"/>
      <c r="AT115" s="86"/>
      <c r="AU115" s="86"/>
      <c r="AV115" s="86"/>
      <c r="AW115" s="86"/>
      <c r="AX115" s="86"/>
      <c r="AY115" s="86"/>
      <c r="AZ115" s="86"/>
      <c r="BA115" s="86"/>
      <c r="BB115" s="86"/>
      <c r="BC115" s="86"/>
      <c r="BD115" s="86"/>
      <c r="BE115" s="182"/>
      <c r="BF115" s="101"/>
      <c r="BG115" s="101"/>
      <c r="BH115" s="101"/>
      <c r="BI115" s="86"/>
      <c r="BJ115" s="101"/>
      <c r="BK115" s="101"/>
      <c r="BL115" s="101"/>
      <c r="BM115" s="101"/>
      <c r="BN115" s="101"/>
      <c r="BO115" s="101"/>
      <c r="BP115" s="101"/>
      <c r="BQ115" s="101"/>
      <c r="BR115" s="101"/>
      <c r="BS115" s="101"/>
      <c r="BT115" s="101"/>
      <c r="BU115" s="101"/>
      <c r="BV115" s="101"/>
      <c r="BW115" s="101"/>
      <c r="BX115" s="86"/>
      <c r="BY115" s="101"/>
      <c r="BZ115" s="86"/>
      <c r="CA115" s="101"/>
      <c r="CB115" s="86"/>
      <c r="CC115" s="86"/>
      <c r="CD115" s="86"/>
      <c r="CE115" s="86"/>
      <c r="CF115" s="86"/>
      <c r="CG115" s="86"/>
      <c r="CH115" s="86"/>
      <c r="CI115" s="86"/>
      <c r="CJ115" s="86"/>
      <c r="CK115" s="86"/>
      <c r="CL115" s="101"/>
      <c r="CM115" s="86"/>
      <c r="CN115" s="43"/>
      <c r="CO115" s="97"/>
      <c r="CP115" s="98"/>
      <c r="CQ115" s="98"/>
      <c r="CR115" s="98"/>
      <c r="CS115" s="98"/>
      <c r="CU115" s="43"/>
      <c r="CV115" s="43"/>
      <c r="CX115" s="43"/>
      <c r="CZ115" s="43"/>
      <c r="DG115" s="95"/>
      <c r="DH115" s="43"/>
      <c r="DI115" s="43"/>
      <c r="DJ115" s="43"/>
      <c r="DK115" s="43"/>
      <c r="DL115" s="26"/>
      <c r="DM115" s="26"/>
      <c r="DN115" s="43"/>
      <c r="DO115" s="101"/>
      <c r="DP115" s="101"/>
      <c r="DQ115" s="101"/>
      <c r="DR115" s="101"/>
      <c r="DS115" s="26"/>
      <c r="DT115" s="26"/>
      <c r="DU115" s="43"/>
      <c r="DZ115" s="43"/>
      <c r="EO115" s="84"/>
      <c r="EP115" s="84"/>
      <c r="EQ115" s="88"/>
      <c r="ER115" s="88"/>
      <c r="ES115" s="88"/>
      <c r="ET115" s="88"/>
      <c r="EU115" s="99"/>
      <c r="EV115" s="99"/>
      <c r="EW115" s="99"/>
      <c r="EX115" s="99"/>
      <c r="EY115" s="99"/>
      <c r="EZ115" s="99"/>
      <c r="FA115" s="99"/>
      <c r="FB115" s="99"/>
      <c r="FC115" s="99"/>
      <c r="FD115" s="99"/>
      <c r="FE115" s="99"/>
      <c r="FF115" s="88"/>
      <c r="FX115" s="96"/>
      <c r="GO115" s="96"/>
    </row>
    <row r="116" spans="1:197" s="3" customFormat="1" ht="12">
      <c r="A116" s="103"/>
      <c r="B116" s="103"/>
      <c r="C116" s="176"/>
      <c r="D116" s="29"/>
      <c r="E116" s="101"/>
      <c r="F116" s="101"/>
      <c r="G116" s="29"/>
      <c r="H116" s="101"/>
      <c r="I116" s="101"/>
      <c r="J116" s="101"/>
      <c r="K116" s="29"/>
      <c r="L116" s="29"/>
      <c r="M116" s="101"/>
      <c r="N116" s="101"/>
      <c r="O116" s="101"/>
      <c r="P116" s="29"/>
      <c r="Q116" s="101"/>
      <c r="R116" s="101"/>
      <c r="S116" s="101"/>
      <c r="T116" s="101"/>
      <c r="U116" s="176"/>
      <c r="V116" s="43"/>
      <c r="W116" s="43"/>
      <c r="X116" s="43"/>
      <c r="Y116" s="43"/>
      <c r="AC116" s="43"/>
      <c r="AD116" s="43"/>
      <c r="AE116" s="43"/>
      <c r="AF116" s="43"/>
      <c r="AG116" s="43"/>
      <c r="AH116" s="43"/>
      <c r="AM116" s="182"/>
      <c r="AN116" s="101"/>
      <c r="AO116" s="86"/>
      <c r="AP116" s="86"/>
      <c r="AQ116" s="86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  <c r="BC116" s="101"/>
      <c r="BD116" s="101"/>
      <c r="BE116" s="182"/>
      <c r="BF116" s="101"/>
      <c r="BG116" s="101"/>
      <c r="BH116" s="101"/>
      <c r="BI116" s="86"/>
      <c r="BJ116" s="101"/>
      <c r="BK116" s="101"/>
      <c r="BL116" s="101"/>
      <c r="BM116" s="101"/>
      <c r="BN116" s="101"/>
      <c r="BO116" s="101"/>
      <c r="BP116" s="101"/>
      <c r="BQ116" s="101"/>
      <c r="BR116" s="101"/>
      <c r="BS116" s="101"/>
      <c r="BT116" s="101"/>
      <c r="BU116" s="101"/>
      <c r="BV116" s="101"/>
      <c r="BW116" s="101"/>
      <c r="BX116" s="86"/>
      <c r="BY116" s="101"/>
      <c r="BZ116" s="86"/>
      <c r="CA116" s="101"/>
      <c r="CB116" s="86"/>
      <c r="CC116" s="86"/>
      <c r="CD116" s="86"/>
      <c r="CE116" s="86"/>
      <c r="CF116" s="86"/>
      <c r="CG116" s="86"/>
      <c r="CH116" s="86"/>
      <c r="CI116" s="86"/>
      <c r="CJ116" s="86"/>
      <c r="CK116" s="86"/>
      <c r="CL116" s="101"/>
      <c r="CM116" s="86"/>
      <c r="CN116" s="43"/>
      <c r="CO116" s="97"/>
      <c r="CP116" s="98"/>
      <c r="CQ116" s="98"/>
      <c r="CR116" s="98"/>
      <c r="CS116" s="98"/>
      <c r="DG116" s="95"/>
      <c r="DH116" s="43"/>
      <c r="DI116" s="43"/>
      <c r="DJ116" s="43"/>
      <c r="DK116" s="43"/>
      <c r="DL116" s="26"/>
      <c r="DM116" s="26"/>
      <c r="DN116" s="43"/>
      <c r="DO116" s="43"/>
      <c r="DP116" s="43"/>
      <c r="DQ116" s="43"/>
      <c r="DR116" s="43"/>
      <c r="DS116" s="43"/>
      <c r="DT116" s="43"/>
      <c r="DU116" s="43"/>
      <c r="DZ116" s="43"/>
      <c r="EJ116" s="88"/>
      <c r="EM116" s="88"/>
      <c r="EO116" s="84"/>
      <c r="EP116" s="84"/>
      <c r="EQ116" s="88"/>
      <c r="ER116" s="88"/>
      <c r="ES116" s="88"/>
      <c r="ET116" s="88"/>
      <c r="EU116" s="99"/>
      <c r="EV116" s="99"/>
      <c r="EW116" s="99"/>
      <c r="EX116" s="99"/>
      <c r="EY116" s="99"/>
      <c r="EZ116" s="99"/>
      <c r="FA116" s="99"/>
      <c r="FB116" s="99"/>
      <c r="FC116" s="99"/>
      <c r="FD116" s="99"/>
      <c r="FE116" s="99"/>
      <c r="FF116" s="88"/>
      <c r="FX116" s="96"/>
      <c r="GO116" s="96"/>
    </row>
    <row r="117" spans="1:197" s="3" customFormat="1" ht="12">
      <c r="A117" s="103"/>
      <c r="B117" s="103"/>
      <c r="C117" s="176"/>
      <c r="D117" s="26"/>
      <c r="E117" s="43"/>
      <c r="F117" s="43"/>
      <c r="G117" s="26"/>
      <c r="H117" s="43"/>
      <c r="I117" s="43"/>
      <c r="J117" s="43"/>
      <c r="K117" s="26"/>
      <c r="L117" s="26"/>
      <c r="M117" s="43"/>
      <c r="N117" s="43"/>
      <c r="O117" s="43"/>
      <c r="P117" s="26"/>
      <c r="Q117" s="43"/>
      <c r="R117" s="43"/>
      <c r="S117" s="43"/>
      <c r="T117" s="43"/>
      <c r="U117" s="176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176"/>
      <c r="AU117" s="43"/>
      <c r="BA117" s="43"/>
      <c r="BE117" s="176"/>
      <c r="BF117" s="43"/>
      <c r="BG117" s="43"/>
      <c r="BH117" s="43"/>
      <c r="BJ117" s="43"/>
      <c r="BK117" s="43"/>
      <c r="BL117" s="43"/>
      <c r="BM117" s="43"/>
      <c r="BN117" s="43"/>
      <c r="BO117" s="43"/>
      <c r="BP117" s="43"/>
      <c r="BQ117" s="43"/>
      <c r="BR117" s="43"/>
      <c r="BS117" s="43"/>
      <c r="BT117" s="43"/>
      <c r="BU117" s="43"/>
      <c r="BV117" s="43"/>
      <c r="BW117" s="43"/>
      <c r="BY117" s="43"/>
      <c r="CA117" s="43"/>
      <c r="CL117" s="43"/>
      <c r="CN117" s="43"/>
      <c r="CO117" s="97"/>
      <c r="CP117" s="98"/>
      <c r="CQ117" s="98"/>
      <c r="CR117" s="98"/>
      <c r="CS117" s="98"/>
      <c r="CU117" s="43"/>
      <c r="CW117" s="43"/>
      <c r="CX117" s="43"/>
      <c r="DG117" s="95"/>
      <c r="DH117" s="43"/>
      <c r="DI117" s="43"/>
      <c r="DJ117" s="43"/>
      <c r="DK117" s="43"/>
      <c r="DL117" s="26"/>
      <c r="DM117" s="26"/>
      <c r="DN117" s="43"/>
      <c r="DO117" s="43"/>
      <c r="DP117" s="43"/>
      <c r="DQ117" s="43"/>
      <c r="DR117" s="43"/>
      <c r="DS117" s="26"/>
      <c r="DT117" s="26"/>
      <c r="DU117" s="43"/>
      <c r="DZ117" s="43"/>
      <c r="EL117" s="43"/>
      <c r="EM117" s="43"/>
      <c r="EN117" s="43"/>
      <c r="EO117" s="84"/>
      <c r="EP117" s="84"/>
      <c r="EQ117" s="88"/>
      <c r="ER117" s="88"/>
      <c r="ES117" s="88"/>
      <c r="ET117" s="88"/>
      <c r="EU117" s="99"/>
      <c r="EV117" s="99"/>
      <c r="EW117" s="99"/>
      <c r="EX117" s="99"/>
      <c r="EY117" s="99"/>
      <c r="EZ117" s="99"/>
      <c r="FA117" s="99"/>
      <c r="FB117" s="99"/>
      <c r="FC117" s="99"/>
      <c r="FD117" s="99"/>
      <c r="FE117" s="99"/>
      <c r="FF117" s="88"/>
      <c r="FX117" s="96"/>
      <c r="GO117" s="96"/>
    </row>
    <row r="118" spans="1:197" s="3" customFormat="1" ht="12">
      <c r="A118" s="103"/>
      <c r="B118" s="103"/>
      <c r="C118" s="176"/>
      <c r="D118" s="26"/>
      <c r="E118" s="43"/>
      <c r="F118" s="43"/>
      <c r="G118" s="26"/>
      <c r="H118" s="43"/>
      <c r="I118" s="43"/>
      <c r="J118" s="43"/>
      <c r="K118" s="26"/>
      <c r="L118" s="26"/>
      <c r="M118" s="43"/>
      <c r="N118" s="43"/>
      <c r="O118" s="43"/>
      <c r="P118" s="26"/>
      <c r="Q118" s="43"/>
      <c r="R118" s="43"/>
      <c r="S118" s="43"/>
      <c r="T118" s="43"/>
      <c r="U118" s="176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176"/>
      <c r="BE118" s="176"/>
      <c r="BF118" s="43"/>
      <c r="BG118" s="43"/>
      <c r="BH118" s="43"/>
      <c r="BJ118" s="43"/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  <c r="BW118" s="43"/>
      <c r="BY118" s="43"/>
      <c r="CA118" s="43"/>
      <c r="CL118" s="43"/>
      <c r="CN118" s="43"/>
      <c r="CO118" s="97"/>
      <c r="CP118" s="98"/>
      <c r="CQ118" s="98"/>
      <c r="CR118" s="98"/>
      <c r="CS118" s="98"/>
      <c r="DG118" s="95"/>
      <c r="DH118" s="43"/>
      <c r="DI118" s="43"/>
      <c r="DJ118" s="43"/>
      <c r="DK118" s="43"/>
      <c r="DL118" s="26"/>
      <c r="DM118" s="26"/>
      <c r="DN118" s="43"/>
      <c r="DO118" s="43"/>
      <c r="DP118" s="43"/>
      <c r="DQ118" s="43"/>
      <c r="DR118" s="43"/>
      <c r="DS118" s="26"/>
      <c r="DT118" s="26"/>
      <c r="DU118" s="43"/>
      <c r="DZ118" s="43"/>
      <c r="EH118" s="88"/>
      <c r="EM118" s="43"/>
      <c r="EO118" s="84"/>
      <c r="EP118" s="84"/>
      <c r="EQ118" s="88"/>
      <c r="ER118" s="88"/>
      <c r="ES118" s="88"/>
      <c r="ET118" s="88"/>
      <c r="EU118" s="99"/>
      <c r="EV118" s="99"/>
      <c r="EW118" s="99"/>
      <c r="EX118" s="99"/>
      <c r="EY118" s="99"/>
      <c r="EZ118" s="99"/>
      <c r="FA118" s="99"/>
      <c r="FB118" s="99"/>
      <c r="FC118" s="99"/>
      <c r="FD118" s="99"/>
      <c r="FE118" s="99"/>
      <c r="FF118" s="88"/>
      <c r="FX118" s="96"/>
      <c r="GO118" s="96"/>
    </row>
    <row r="119" spans="1:197" s="3" customFormat="1" ht="12">
      <c r="A119" s="103"/>
      <c r="B119" s="103"/>
      <c r="C119" s="176"/>
      <c r="D119" s="26"/>
      <c r="E119" s="43"/>
      <c r="F119" s="43"/>
      <c r="G119" s="26"/>
      <c r="H119" s="43"/>
      <c r="I119" s="43"/>
      <c r="J119" s="43"/>
      <c r="K119" s="26"/>
      <c r="L119" s="26"/>
      <c r="M119" s="43"/>
      <c r="N119" s="43"/>
      <c r="O119" s="43"/>
      <c r="P119" s="26"/>
      <c r="Q119" s="43"/>
      <c r="R119" s="43"/>
      <c r="S119" s="43"/>
      <c r="T119" s="43"/>
      <c r="U119" s="176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176"/>
      <c r="BE119" s="176"/>
      <c r="BF119" s="43"/>
      <c r="BG119" s="43"/>
      <c r="BH119" s="43"/>
      <c r="BJ119" s="43"/>
      <c r="BK119" s="43"/>
      <c r="BL119" s="43"/>
      <c r="BM119" s="43"/>
      <c r="BN119" s="43"/>
      <c r="BO119" s="43"/>
      <c r="BP119" s="43"/>
      <c r="BQ119" s="43"/>
      <c r="BR119" s="43"/>
      <c r="BS119" s="43"/>
      <c r="BT119" s="43"/>
      <c r="BU119" s="43"/>
      <c r="BV119" s="43"/>
      <c r="BW119" s="43"/>
      <c r="BY119" s="43"/>
      <c r="CA119" s="43"/>
      <c r="CL119" s="43"/>
      <c r="CN119" s="43"/>
      <c r="CO119" s="97"/>
      <c r="CP119" s="98"/>
      <c r="CQ119" s="98"/>
      <c r="CR119" s="98"/>
      <c r="CS119" s="98"/>
      <c r="CT119" s="86"/>
      <c r="CU119" s="86"/>
      <c r="CV119" s="86"/>
      <c r="CW119" s="86"/>
      <c r="CY119" s="43"/>
      <c r="DA119" s="86"/>
      <c r="DB119" s="86"/>
      <c r="DC119" s="86"/>
      <c r="DD119" s="86"/>
      <c r="DG119" s="95"/>
      <c r="DH119" s="43"/>
      <c r="DI119" s="43"/>
      <c r="DJ119" s="43"/>
      <c r="DK119" s="43"/>
      <c r="DL119" s="26"/>
      <c r="DM119" s="26"/>
      <c r="DN119" s="43"/>
      <c r="DO119" s="43"/>
      <c r="DP119" s="43"/>
      <c r="DQ119" s="43"/>
      <c r="DR119" s="43"/>
      <c r="DS119" s="26"/>
      <c r="DT119" s="26"/>
      <c r="DU119" s="43"/>
      <c r="DZ119" s="43"/>
      <c r="EH119" s="43"/>
      <c r="EM119" s="43"/>
      <c r="EO119" s="84"/>
      <c r="EP119" s="84"/>
      <c r="EQ119" s="88"/>
      <c r="ER119" s="88"/>
      <c r="ES119" s="88"/>
      <c r="ET119" s="88"/>
      <c r="EU119" s="99"/>
      <c r="EV119" s="99"/>
      <c r="EW119" s="99"/>
      <c r="EX119" s="99"/>
      <c r="EY119" s="99"/>
      <c r="EZ119" s="99"/>
      <c r="FA119" s="99"/>
      <c r="FB119" s="99"/>
      <c r="FC119" s="99"/>
      <c r="FD119" s="99"/>
      <c r="FE119" s="99"/>
      <c r="FF119" s="88"/>
      <c r="FX119" s="96"/>
      <c r="GO119" s="96"/>
    </row>
    <row r="120" spans="1:197" s="3" customFormat="1" ht="12">
      <c r="A120" s="103"/>
      <c r="B120" s="103"/>
      <c r="C120" s="176"/>
      <c r="D120" s="26"/>
      <c r="E120" s="43"/>
      <c r="F120" s="43"/>
      <c r="G120" s="26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176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176"/>
      <c r="BE120" s="176"/>
      <c r="BF120" s="43"/>
      <c r="BG120" s="43"/>
      <c r="BH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Y120" s="43"/>
      <c r="CA120" s="43"/>
      <c r="CL120" s="43"/>
      <c r="CN120" s="43"/>
      <c r="CO120" s="97"/>
      <c r="CP120" s="98"/>
      <c r="CQ120" s="98"/>
      <c r="CR120" s="98"/>
      <c r="CS120" s="98"/>
      <c r="DG120" s="95"/>
      <c r="DH120" s="43"/>
      <c r="DI120" s="43"/>
      <c r="DJ120" s="43"/>
      <c r="DK120" s="43"/>
      <c r="DL120" s="26"/>
      <c r="DM120" s="26"/>
      <c r="DN120" s="43"/>
      <c r="DO120" s="43"/>
      <c r="DP120" s="43"/>
      <c r="DQ120" s="43"/>
      <c r="DR120" s="43"/>
      <c r="DS120" s="43"/>
      <c r="DT120" s="43"/>
      <c r="DU120" s="43"/>
      <c r="DZ120" s="43"/>
      <c r="EM120" s="43"/>
      <c r="EO120" s="84"/>
      <c r="EP120" s="84"/>
      <c r="EQ120" s="88"/>
      <c r="ER120" s="88"/>
      <c r="ES120" s="88"/>
      <c r="ET120" s="88"/>
      <c r="EU120" s="99"/>
      <c r="EV120" s="99"/>
      <c r="EW120" s="99"/>
      <c r="EX120" s="99"/>
      <c r="EY120" s="99"/>
      <c r="EZ120" s="99"/>
      <c r="FA120" s="99"/>
      <c r="FB120" s="99"/>
      <c r="FC120" s="99"/>
      <c r="FD120" s="99"/>
      <c r="FE120" s="99"/>
      <c r="FF120" s="88"/>
      <c r="FX120" s="96"/>
      <c r="GO120" s="96"/>
    </row>
    <row r="121" spans="1:197" s="3" customFormat="1" ht="12">
      <c r="A121" s="103"/>
      <c r="B121" s="103"/>
      <c r="C121" s="176"/>
      <c r="D121" s="29"/>
      <c r="E121" s="101"/>
      <c r="F121" s="101"/>
      <c r="G121" s="29"/>
      <c r="H121" s="101"/>
      <c r="I121" s="101"/>
      <c r="J121" s="101"/>
      <c r="K121" s="29"/>
      <c r="L121" s="29"/>
      <c r="M121" s="101"/>
      <c r="N121" s="101"/>
      <c r="O121" s="101"/>
      <c r="P121" s="29"/>
      <c r="Q121" s="101"/>
      <c r="R121" s="101"/>
      <c r="S121" s="101"/>
      <c r="T121" s="101"/>
      <c r="U121" s="176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182"/>
      <c r="AN121" s="86"/>
      <c r="AO121" s="86"/>
      <c r="AP121" s="86"/>
      <c r="AQ121" s="86"/>
      <c r="AR121" s="86"/>
      <c r="AS121" s="86"/>
      <c r="AT121" s="86"/>
      <c r="AU121" s="86"/>
      <c r="AV121" s="86"/>
      <c r="AW121" s="86"/>
      <c r="AX121" s="86"/>
      <c r="AY121" s="86"/>
      <c r="AZ121" s="86"/>
      <c r="BA121" s="86"/>
      <c r="BB121" s="86"/>
      <c r="BC121" s="86"/>
      <c r="BD121" s="86"/>
      <c r="BE121" s="182"/>
      <c r="BF121" s="101"/>
      <c r="BG121" s="101"/>
      <c r="BH121" s="101"/>
      <c r="BI121" s="86"/>
      <c r="BJ121" s="101"/>
      <c r="BK121" s="101"/>
      <c r="BL121" s="101"/>
      <c r="BM121" s="101"/>
      <c r="BN121" s="101"/>
      <c r="BO121" s="101"/>
      <c r="BP121" s="101"/>
      <c r="BQ121" s="101"/>
      <c r="BR121" s="101"/>
      <c r="BS121" s="101"/>
      <c r="BT121" s="101"/>
      <c r="BU121" s="101"/>
      <c r="BV121" s="101"/>
      <c r="BW121" s="101"/>
      <c r="BX121" s="86"/>
      <c r="BY121" s="101"/>
      <c r="BZ121" s="86"/>
      <c r="CA121" s="101"/>
      <c r="CB121" s="86"/>
      <c r="CC121" s="86"/>
      <c r="CD121" s="86"/>
      <c r="CE121" s="86"/>
      <c r="CF121" s="86"/>
      <c r="CG121" s="86"/>
      <c r="CH121" s="86"/>
      <c r="CI121" s="86"/>
      <c r="CJ121" s="86"/>
      <c r="CK121" s="86"/>
      <c r="CL121" s="101"/>
      <c r="CM121" s="86"/>
      <c r="CN121" s="43"/>
      <c r="CO121" s="97"/>
      <c r="CP121" s="98"/>
      <c r="CQ121" s="98"/>
      <c r="CR121" s="98"/>
      <c r="CS121" s="98"/>
      <c r="CX121" s="43"/>
      <c r="DG121" s="95"/>
      <c r="DH121" s="43"/>
      <c r="DI121" s="43"/>
      <c r="DJ121" s="43"/>
      <c r="DK121" s="43"/>
      <c r="DL121" s="26"/>
      <c r="DM121" s="26"/>
      <c r="DN121" s="43"/>
      <c r="DO121" s="43"/>
      <c r="DP121" s="43"/>
      <c r="DQ121" s="43"/>
      <c r="DR121" s="43"/>
      <c r="DS121" s="26"/>
      <c r="DT121" s="26"/>
      <c r="DU121" s="43"/>
      <c r="DZ121" s="43"/>
      <c r="EM121" s="43"/>
      <c r="EO121" s="84"/>
      <c r="EP121" s="84"/>
      <c r="EQ121" s="88"/>
      <c r="ER121" s="88"/>
      <c r="ES121" s="88"/>
      <c r="ET121" s="88"/>
      <c r="EU121" s="99"/>
      <c r="EV121" s="99"/>
      <c r="EW121" s="99"/>
      <c r="EX121" s="99"/>
      <c r="EY121" s="99"/>
      <c r="EZ121" s="99"/>
      <c r="FA121" s="99"/>
      <c r="FB121" s="99"/>
      <c r="FC121" s="99"/>
      <c r="FD121" s="99"/>
      <c r="FE121" s="99"/>
      <c r="FF121" s="88"/>
      <c r="FX121" s="96"/>
      <c r="GO121" s="96"/>
    </row>
    <row r="122" spans="1:197" s="3" customFormat="1" ht="12">
      <c r="A122" s="103"/>
      <c r="B122" s="103"/>
      <c r="C122" s="176"/>
      <c r="D122" s="29"/>
      <c r="E122" s="101"/>
      <c r="F122" s="101"/>
      <c r="G122" s="29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176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176"/>
      <c r="BE122" s="176"/>
      <c r="BF122" s="43"/>
      <c r="BG122" s="43"/>
      <c r="BH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  <c r="BY122" s="43"/>
      <c r="CA122" s="43"/>
      <c r="CL122" s="43"/>
      <c r="CN122" s="43"/>
      <c r="CO122" s="97"/>
      <c r="CP122" s="98"/>
      <c r="CQ122" s="98"/>
      <c r="CR122" s="98"/>
      <c r="CS122" s="98"/>
      <c r="DG122" s="95"/>
      <c r="DH122" s="43"/>
      <c r="DI122" s="43"/>
      <c r="DJ122" s="43"/>
      <c r="DK122" s="43"/>
      <c r="DL122" s="26"/>
      <c r="DM122" s="26"/>
      <c r="DN122" s="43"/>
      <c r="DO122" s="43"/>
      <c r="DP122" s="43"/>
      <c r="DQ122" s="43"/>
      <c r="DR122" s="43"/>
      <c r="DS122" s="26"/>
      <c r="DT122" s="26"/>
      <c r="DU122" s="43"/>
      <c r="DZ122" s="43"/>
      <c r="EM122" s="43"/>
      <c r="EO122" s="84"/>
      <c r="EP122" s="84"/>
      <c r="EQ122" s="88"/>
      <c r="ER122" s="88"/>
      <c r="ES122" s="88"/>
      <c r="ET122" s="88"/>
      <c r="EU122" s="99"/>
      <c r="EV122" s="99"/>
      <c r="EW122" s="99"/>
      <c r="EX122" s="99"/>
      <c r="EY122" s="99"/>
      <c r="EZ122" s="99"/>
      <c r="FA122" s="99"/>
      <c r="FB122" s="99"/>
      <c r="FC122" s="99"/>
      <c r="FD122" s="99"/>
      <c r="FE122" s="99"/>
      <c r="FF122" s="88"/>
      <c r="FX122" s="96"/>
      <c r="GO122" s="96"/>
    </row>
    <row r="123" spans="1:197" s="3" customFormat="1" ht="12">
      <c r="A123" s="103"/>
      <c r="B123" s="103"/>
      <c r="C123" s="176"/>
      <c r="D123" s="26"/>
      <c r="E123" s="43"/>
      <c r="F123" s="43"/>
      <c r="G123" s="26"/>
      <c r="H123" s="43"/>
      <c r="I123" s="43"/>
      <c r="J123" s="43"/>
      <c r="K123" s="26"/>
      <c r="L123" s="26"/>
      <c r="M123" s="43"/>
      <c r="N123" s="43"/>
      <c r="O123" s="43"/>
      <c r="P123" s="26"/>
      <c r="Q123" s="43"/>
      <c r="R123" s="43"/>
      <c r="S123" s="43"/>
      <c r="T123" s="43"/>
      <c r="U123" s="176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176"/>
      <c r="BE123" s="176"/>
      <c r="BF123" s="43"/>
      <c r="BG123" s="43"/>
      <c r="BH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Y123" s="43"/>
      <c r="CA123" s="43"/>
      <c r="CL123" s="43"/>
      <c r="CN123" s="43"/>
      <c r="CO123" s="97"/>
      <c r="CP123" s="98"/>
      <c r="CQ123" s="98"/>
      <c r="CR123" s="98"/>
      <c r="CS123" s="98"/>
      <c r="CW123" s="43"/>
      <c r="CZ123" s="43"/>
      <c r="DG123" s="95"/>
      <c r="DH123" s="43"/>
      <c r="DI123" s="43"/>
      <c r="DJ123" s="43"/>
      <c r="DK123" s="43"/>
      <c r="DL123" s="43"/>
      <c r="DM123" s="43"/>
      <c r="DN123" s="43"/>
      <c r="DO123" s="43"/>
      <c r="DP123" s="43"/>
      <c r="DQ123" s="43"/>
      <c r="DR123" s="43"/>
      <c r="DS123" s="26"/>
      <c r="DT123" s="26"/>
      <c r="DU123" s="43"/>
      <c r="DZ123" s="43"/>
      <c r="EF123" s="43"/>
      <c r="EH123" s="43"/>
      <c r="EI123" s="43"/>
      <c r="EK123" s="43"/>
      <c r="EM123" s="43"/>
      <c r="EO123" s="84"/>
      <c r="EP123" s="84"/>
      <c r="EQ123" s="88"/>
      <c r="ER123" s="88"/>
      <c r="ES123" s="88"/>
      <c r="ET123" s="88"/>
      <c r="EU123" s="99"/>
      <c r="EV123" s="99"/>
      <c r="EW123" s="99"/>
      <c r="EX123" s="99"/>
      <c r="EY123" s="99"/>
      <c r="EZ123" s="99"/>
      <c r="FA123" s="99"/>
      <c r="FB123" s="99"/>
      <c r="FC123" s="99"/>
      <c r="FD123" s="99"/>
      <c r="FE123" s="99"/>
      <c r="FF123" s="88"/>
      <c r="FX123" s="96"/>
      <c r="GO123" s="96"/>
    </row>
    <row r="124" spans="1:197" s="3" customFormat="1" ht="12">
      <c r="A124" s="103"/>
      <c r="B124" s="103"/>
      <c r="C124" s="176"/>
      <c r="D124" s="26"/>
      <c r="E124" s="43"/>
      <c r="F124" s="43"/>
      <c r="G124" s="26"/>
      <c r="H124" s="43"/>
      <c r="I124" s="43"/>
      <c r="J124" s="43"/>
      <c r="K124" s="26"/>
      <c r="L124" s="26"/>
      <c r="M124" s="43"/>
      <c r="N124" s="43"/>
      <c r="O124" s="43"/>
      <c r="P124" s="26"/>
      <c r="Q124" s="43"/>
      <c r="R124" s="43"/>
      <c r="S124" s="43"/>
      <c r="T124" s="43"/>
      <c r="U124" s="176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176"/>
      <c r="BE124" s="176"/>
      <c r="BF124" s="43"/>
      <c r="BG124" s="43"/>
      <c r="BH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  <c r="BY124" s="43"/>
      <c r="CA124" s="43"/>
      <c r="CL124" s="43"/>
      <c r="CN124" s="43"/>
      <c r="CO124" s="97"/>
      <c r="CP124" s="98"/>
      <c r="CQ124" s="98"/>
      <c r="CR124" s="98"/>
      <c r="CS124" s="98"/>
      <c r="CZ124" s="43"/>
      <c r="DG124" s="95"/>
      <c r="DH124" s="43"/>
      <c r="DI124" s="43"/>
      <c r="DJ124" s="43"/>
      <c r="DK124" s="79"/>
      <c r="DL124" s="29"/>
      <c r="DM124" s="29"/>
      <c r="DN124" s="43"/>
      <c r="DO124" s="43"/>
      <c r="DP124" s="43"/>
      <c r="DQ124" s="43"/>
      <c r="DR124" s="43"/>
      <c r="DS124" s="26"/>
      <c r="DT124" s="26"/>
      <c r="DU124" s="43"/>
      <c r="DZ124" s="43"/>
      <c r="EJ124" s="88"/>
      <c r="EK124" s="88"/>
      <c r="EL124" s="88"/>
      <c r="EM124" s="43"/>
      <c r="EN124" s="88"/>
      <c r="EO124" s="84"/>
      <c r="EP124" s="84"/>
      <c r="EQ124" s="88"/>
      <c r="ER124" s="88"/>
      <c r="ES124" s="88"/>
      <c r="ET124" s="88"/>
      <c r="EU124" s="99"/>
      <c r="EV124" s="99"/>
      <c r="EW124" s="99"/>
      <c r="EX124" s="99"/>
      <c r="EY124" s="99"/>
      <c r="EZ124" s="99"/>
      <c r="FA124" s="99"/>
      <c r="FB124" s="99"/>
      <c r="FC124" s="99"/>
      <c r="FD124" s="99"/>
      <c r="FE124" s="99"/>
      <c r="FF124" s="88"/>
      <c r="FX124" s="96"/>
      <c r="GO124" s="96"/>
    </row>
    <row r="125" spans="1:197" s="3" customFormat="1" ht="12">
      <c r="A125" s="103"/>
      <c r="B125" s="103"/>
      <c r="C125" s="176"/>
      <c r="D125" s="26"/>
      <c r="E125" s="43"/>
      <c r="F125" s="43"/>
      <c r="G125" s="26"/>
      <c r="H125" s="43"/>
      <c r="I125" s="43"/>
      <c r="J125" s="43"/>
      <c r="K125" s="26"/>
      <c r="L125" s="26"/>
      <c r="M125" s="43"/>
      <c r="N125" s="43"/>
      <c r="O125" s="43"/>
      <c r="P125" s="26"/>
      <c r="Q125" s="43"/>
      <c r="R125" s="43"/>
      <c r="S125" s="43"/>
      <c r="T125" s="43"/>
      <c r="U125" s="176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176"/>
      <c r="AT125" s="43"/>
      <c r="AV125" s="43"/>
      <c r="BC125" s="43"/>
      <c r="BD125" s="43"/>
      <c r="BE125" s="176"/>
      <c r="BF125" s="43"/>
      <c r="BG125" s="43"/>
      <c r="BH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  <c r="BU125" s="43"/>
      <c r="BV125" s="43"/>
      <c r="BW125" s="43"/>
      <c r="BY125" s="43"/>
      <c r="CA125" s="43"/>
      <c r="CL125" s="43"/>
      <c r="CN125" s="43"/>
      <c r="CO125" s="97"/>
      <c r="CP125" s="98"/>
      <c r="CQ125" s="98"/>
      <c r="CR125" s="98"/>
      <c r="CS125" s="98"/>
      <c r="DG125" s="95"/>
      <c r="DH125" s="43"/>
      <c r="DI125" s="43"/>
      <c r="DJ125" s="43"/>
      <c r="DK125" s="43"/>
      <c r="DL125" s="43"/>
      <c r="DM125" s="43"/>
      <c r="DN125" s="43"/>
      <c r="DO125" s="43"/>
      <c r="DP125" s="43"/>
      <c r="DQ125" s="43"/>
      <c r="DR125" s="43"/>
      <c r="DS125" s="43"/>
      <c r="DT125" s="43"/>
      <c r="DU125" s="43"/>
      <c r="DZ125" s="43"/>
      <c r="EM125" s="43"/>
      <c r="EO125" s="84"/>
      <c r="EP125" s="84"/>
      <c r="EQ125" s="88"/>
      <c r="ER125" s="88"/>
      <c r="ES125" s="88"/>
      <c r="ET125" s="88"/>
      <c r="EU125" s="99"/>
      <c r="EV125" s="99"/>
      <c r="EW125" s="99"/>
      <c r="EX125" s="99"/>
      <c r="EY125" s="99"/>
      <c r="EZ125" s="99"/>
      <c r="FA125" s="99"/>
      <c r="FB125" s="99"/>
      <c r="FC125" s="99"/>
      <c r="FD125" s="99"/>
      <c r="FE125" s="99"/>
      <c r="FF125" s="88"/>
      <c r="FX125" s="96"/>
      <c r="GO125" s="96"/>
    </row>
    <row r="126" spans="1:197" s="3" customFormat="1" ht="12">
      <c r="A126" s="103"/>
      <c r="B126" s="103"/>
      <c r="C126" s="176"/>
      <c r="D126" s="26"/>
      <c r="E126" s="43"/>
      <c r="F126" s="43"/>
      <c r="G126" s="26"/>
      <c r="J126" s="43"/>
      <c r="K126" s="26"/>
      <c r="M126" s="43"/>
      <c r="N126" s="43"/>
      <c r="O126" s="43"/>
      <c r="P126" s="26"/>
      <c r="Q126" s="43"/>
      <c r="U126" s="176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176"/>
      <c r="BE126" s="176"/>
      <c r="BF126" s="43"/>
      <c r="BG126" s="43"/>
      <c r="BH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Y126" s="43"/>
      <c r="CA126" s="43"/>
      <c r="CL126" s="43"/>
      <c r="CN126" s="43"/>
      <c r="CO126" s="97"/>
      <c r="CP126" s="98"/>
      <c r="CQ126" s="98"/>
      <c r="CR126" s="98"/>
      <c r="CS126" s="98"/>
      <c r="CW126" s="43"/>
      <c r="CX126" s="43"/>
      <c r="CY126" s="43"/>
      <c r="DC126" s="43"/>
      <c r="DG126" s="95"/>
      <c r="DH126" s="43"/>
      <c r="DI126" s="43"/>
      <c r="DJ126" s="43"/>
      <c r="DK126" s="43"/>
      <c r="DL126" s="43"/>
      <c r="DM126" s="43"/>
      <c r="DN126" s="43"/>
      <c r="DO126" s="43"/>
      <c r="DP126" s="43"/>
      <c r="DQ126" s="43"/>
      <c r="DR126" s="43"/>
      <c r="DS126" s="29"/>
      <c r="DT126" s="29"/>
      <c r="DU126" s="43"/>
      <c r="DZ126" s="43"/>
      <c r="EM126" s="43"/>
      <c r="EO126" s="84"/>
      <c r="EP126" s="84"/>
      <c r="EQ126" s="88"/>
      <c r="ER126" s="88"/>
      <c r="ES126" s="88"/>
      <c r="ET126" s="88"/>
      <c r="EU126" s="99"/>
      <c r="EV126" s="99"/>
      <c r="EW126" s="99"/>
      <c r="EX126" s="99"/>
      <c r="EY126" s="99"/>
      <c r="EZ126" s="99"/>
      <c r="FA126" s="99"/>
      <c r="FB126" s="99"/>
      <c r="FC126" s="99"/>
      <c r="FD126" s="99"/>
      <c r="FE126" s="99"/>
      <c r="FF126" s="88"/>
      <c r="FX126" s="96"/>
      <c r="GO126" s="96"/>
    </row>
    <row r="127" spans="1:197" s="3" customFormat="1" ht="12">
      <c r="A127" s="103"/>
      <c r="B127" s="103"/>
      <c r="C127" s="176"/>
      <c r="D127" s="26"/>
      <c r="E127" s="43"/>
      <c r="F127" s="43"/>
      <c r="G127" s="26"/>
      <c r="J127" s="43"/>
      <c r="K127" s="26"/>
      <c r="L127" s="43"/>
      <c r="M127" s="43"/>
      <c r="N127" s="43"/>
      <c r="O127" s="43"/>
      <c r="P127" s="26"/>
      <c r="Q127" s="43"/>
      <c r="U127" s="176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176"/>
      <c r="BB127" s="43"/>
      <c r="BE127" s="176"/>
      <c r="BF127" s="43"/>
      <c r="BG127" s="43"/>
      <c r="BH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Y127" s="43"/>
      <c r="CA127" s="43"/>
      <c r="CL127" s="43"/>
      <c r="CM127" s="105"/>
      <c r="CN127" s="43"/>
      <c r="CO127" s="97"/>
      <c r="CP127" s="98"/>
      <c r="CQ127" s="98"/>
      <c r="CR127" s="98"/>
      <c r="CS127" s="98"/>
      <c r="CT127" s="106"/>
      <c r="CU127" s="106"/>
      <c r="CV127" s="106"/>
      <c r="CW127" s="106"/>
      <c r="CX127" s="106"/>
      <c r="CY127" s="106"/>
      <c r="CZ127" s="106"/>
      <c r="DA127" s="106"/>
      <c r="DB127" s="105"/>
      <c r="DG127" s="95"/>
      <c r="DH127" s="43"/>
      <c r="DI127" s="43"/>
      <c r="DJ127" s="43"/>
      <c r="DK127" s="43"/>
      <c r="DQ127" s="43"/>
      <c r="DR127" s="43"/>
      <c r="DS127" s="43"/>
      <c r="DT127" s="43"/>
      <c r="DU127" s="43"/>
      <c r="DY127" s="43"/>
      <c r="DZ127" s="43"/>
      <c r="EN127" s="43"/>
      <c r="EO127" s="85"/>
      <c r="EP127" s="85"/>
      <c r="EQ127" s="88"/>
      <c r="ER127" s="88"/>
      <c r="ES127" s="88"/>
      <c r="ET127" s="88"/>
      <c r="EU127" s="99"/>
      <c r="EV127" s="99"/>
      <c r="EW127" s="99"/>
      <c r="EX127" s="99"/>
      <c r="EY127" s="99"/>
      <c r="EZ127" s="99"/>
      <c r="FA127" s="99"/>
      <c r="FB127" s="99"/>
      <c r="FC127" s="99"/>
      <c r="FD127" s="99"/>
      <c r="FE127" s="99"/>
      <c r="FF127" s="79"/>
      <c r="FX127" s="96"/>
      <c r="GO127" s="96"/>
    </row>
    <row r="128" spans="1:197" s="3" customFormat="1" ht="12">
      <c r="A128" s="103"/>
      <c r="B128" s="103"/>
      <c r="C128" s="176"/>
      <c r="D128" s="26"/>
      <c r="E128" s="43"/>
      <c r="F128" s="43"/>
      <c r="G128" s="26"/>
      <c r="J128" s="43"/>
      <c r="K128" s="26"/>
      <c r="M128" s="43"/>
      <c r="N128" s="43"/>
      <c r="O128" s="43"/>
      <c r="P128" s="26"/>
      <c r="Q128" s="43"/>
      <c r="U128" s="176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176"/>
      <c r="BC128" s="43"/>
      <c r="BD128" s="43"/>
      <c r="BE128" s="176"/>
      <c r="BF128" s="43"/>
      <c r="BG128" s="43"/>
      <c r="BH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  <c r="BW128" s="43"/>
      <c r="BY128" s="43"/>
      <c r="CA128" s="43"/>
      <c r="CL128" s="43"/>
      <c r="CN128" s="43"/>
      <c r="CO128" s="97"/>
      <c r="CP128" s="98"/>
      <c r="CQ128" s="98"/>
      <c r="CR128" s="98"/>
      <c r="CS128" s="98"/>
      <c r="CV128" s="43"/>
      <c r="DG128" s="95"/>
      <c r="DH128" s="43"/>
      <c r="DI128" s="43"/>
      <c r="DJ128" s="43"/>
      <c r="DK128" s="43"/>
      <c r="DL128" s="43"/>
      <c r="DQ128" s="43"/>
      <c r="DR128" s="43"/>
      <c r="DS128" s="30"/>
      <c r="DT128" s="29"/>
      <c r="DU128" s="43"/>
      <c r="DZ128" s="43"/>
      <c r="EB128" s="43"/>
      <c r="EH128" s="43"/>
      <c r="EN128" s="43"/>
      <c r="EO128" s="84"/>
      <c r="EP128" s="84"/>
      <c r="EQ128" s="88"/>
      <c r="ER128" s="88"/>
      <c r="ES128" s="88"/>
      <c r="ET128" s="88"/>
      <c r="EU128" s="99"/>
      <c r="EV128" s="99"/>
      <c r="EW128" s="99"/>
      <c r="EX128" s="99"/>
      <c r="EY128" s="99"/>
      <c r="EZ128" s="99"/>
      <c r="FA128" s="99"/>
      <c r="FB128" s="99"/>
      <c r="FC128" s="99"/>
      <c r="FD128" s="99"/>
      <c r="FE128" s="99"/>
      <c r="FF128" s="88"/>
      <c r="FX128" s="96"/>
      <c r="GO128" s="96"/>
    </row>
    <row r="129" spans="1:197" s="3" customFormat="1" ht="12">
      <c r="A129" s="103"/>
      <c r="B129" s="103"/>
      <c r="C129" s="176"/>
      <c r="D129" s="26"/>
      <c r="E129" s="43"/>
      <c r="F129" s="43"/>
      <c r="G129" s="26"/>
      <c r="J129" s="43"/>
      <c r="K129" s="26"/>
      <c r="M129" s="43"/>
      <c r="N129" s="43"/>
      <c r="O129" s="43"/>
      <c r="P129" s="26"/>
      <c r="Q129" s="43"/>
      <c r="U129" s="176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176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176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3"/>
      <c r="BQ129" s="43"/>
      <c r="BR129" s="43"/>
      <c r="BS129" s="43"/>
      <c r="BT129" s="43"/>
      <c r="BU129" s="43"/>
      <c r="BV129" s="43"/>
      <c r="BW129" s="43"/>
      <c r="BY129" s="43"/>
      <c r="CA129" s="43"/>
      <c r="CL129" s="43"/>
      <c r="CN129" s="43"/>
      <c r="CO129" s="89"/>
      <c r="CP129" s="79"/>
      <c r="CQ129" s="79"/>
      <c r="CR129" s="79"/>
      <c r="CS129" s="79"/>
      <c r="CV129" s="43"/>
      <c r="DG129" s="89"/>
      <c r="DH129" s="43"/>
      <c r="DI129" s="79"/>
      <c r="DJ129" s="79"/>
      <c r="DK129" s="79"/>
      <c r="DL129" s="43"/>
      <c r="DM129" s="43"/>
      <c r="DN129" s="43"/>
      <c r="DO129" s="43"/>
      <c r="DP129" s="43"/>
      <c r="DQ129" s="43"/>
      <c r="DR129" s="43"/>
      <c r="DS129" s="43"/>
      <c r="DT129" s="43"/>
      <c r="DU129" s="43"/>
      <c r="DZ129" s="43"/>
      <c r="EO129" s="84"/>
      <c r="EP129" s="84"/>
      <c r="EQ129" s="88"/>
      <c r="ER129" s="88"/>
      <c r="ES129" s="88"/>
      <c r="ET129" s="88"/>
      <c r="EU129" s="99"/>
      <c r="EV129" s="99"/>
      <c r="EW129" s="99"/>
      <c r="EX129" s="99"/>
      <c r="EY129" s="99"/>
      <c r="EZ129" s="99"/>
      <c r="FA129" s="99"/>
      <c r="FB129" s="99"/>
      <c r="FC129" s="99"/>
      <c r="FD129" s="99"/>
      <c r="FE129" s="99"/>
      <c r="FF129" s="88"/>
      <c r="FX129" s="96"/>
      <c r="GO129" s="96"/>
    </row>
    <row r="130" spans="1:197" s="88" customFormat="1" ht="12">
      <c r="A130" s="80"/>
      <c r="B130" s="80"/>
      <c r="C130" s="172"/>
      <c r="D130" s="24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176"/>
      <c r="V130" s="79"/>
      <c r="W130" s="79"/>
      <c r="X130" s="79"/>
      <c r="Y130" s="79"/>
      <c r="Z130" s="79"/>
      <c r="AA130" s="79"/>
      <c r="AB130" s="79"/>
      <c r="AC130" s="79"/>
      <c r="AD130" s="79"/>
      <c r="AE130" s="79"/>
      <c r="AF130" s="79"/>
      <c r="AG130" s="79"/>
      <c r="AH130" s="79"/>
      <c r="AI130" s="79"/>
      <c r="AJ130" s="79"/>
      <c r="AK130" s="79"/>
      <c r="AL130" s="79"/>
      <c r="AM130" s="172"/>
      <c r="AN130" s="79"/>
      <c r="AO130" s="79"/>
      <c r="AP130" s="79"/>
      <c r="AR130" s="79"/>
      <c r="AS130" s="79"/>
      <c r="AT130" s="79"/>
      <c r="AU130" s="79"/>
      <c r="AV130" s="79"/>
      <c r="AW130" s="79"/>
      <c r="AX130" s="79"/>
      <c r="AY130" s="79"/>
      <c r="AZ130" s="79"/>
      <c r="BC130" s="79"/>
      <c r="BD130" s="79"/>
      <c r="BE130" s="172"/>
      <c r="BF130" s="79"/>
      <c r="BG130" s="79"/>
      <c r="BH130" s="79"/>
      <c r="BJ130" s="79"/>
      <c r="BK130" s="79"/>
      <c r="BL130" s="79"/>
      <c r="BM130" s="79"/>
      <c r="BN130" s="79"/>
      <c r="BO130" s="79"/>
      <c r="BP130" s="79"/>
      <c r="BQ130" s="79"/>
      <c r="BR130" s="79"/>
      <c r="BS130" s="79"/>
      <c r="BT130" s="79"/>
      <c r="BU130" s="79"/>
      <c r="BV130" s="79"/>
      <c r="BW130" s="79"/>
      <c r="CA130" s="79"/>
      <c r="CN130" s="43"/>
      <c r="CO130" s="89"/>
      <c r="CP130" s="79"/>
      <c r="CQ130" s="79"/>
      <c r="CR130" s="79"/>
      <c r="CS130" s="79"/>
      <c r="DG130" s="89"/>
      <c r="DH130" s="79"/>
      <c r="DI130" s="79"/>
      <c r="DJ130" s="79"/>
      <c r="DK130" s="79"/>
      <c r="DL130" s="3"/>
      <c r="DM130" s="3"/>
      <c r="DN130" s="3"/>
      <c r="DO130" s="3"/>
      <c r="DP130" s="3"/>
      <c r="DQ130" s="3"/>
      <c r="DR130" s="3"/>
      <c r="DS130" s="32"/>
      <c r="DT130" s="32"/>
      <c r="DU130" s="3"/>
      <c r="DV130" s="86"/>
      <c r="DW130" s="86"/>
      <c r="DX130" s="86"/>
      <c r="DY130" s="79"/>
      <c r="DZ130" s="79"/>
      <c r="EA130" s="79"/>
      <c r="EB130" s="79"/>
      <c r="EC130" s="3"/>
      <c r="ED130" s="3"/>
      <c r="EE130" s="3"/>
      <c r="EF130" s="3"/>
      <c r="EG130" s="3"/>
      <c r="EH130" s="79"/>
      <c r="EI130" s="79"/>
      <c r="EJ130" s="79"/>
      <c r="EK130" s="79"/>
      <c r="EL130" s="79"/>
      <c r="EM130" s="79"/>
      <c r="EN130" s="79"/>
      <c r="EO130" s="84"/>
      <c r="EP130" s="84"/>
      <c r="EU130" s="90"/>
      <c r="EV130" s="90"/>
      <c r="EW130" s="90"/>
      <c r="EX130" s="90"/>
      <c r="EY130" s="90"/>
      <c r="EZ130" s="90"/>
      <c r="FA130" s="90"/>
      <c r="FB130" s="90"/>
      <c r="FC130" s="90"/>
      <c r="FD130" s="90"/>
      <c r="FE130" s="90"/>
      <c r="FX130" s="96"/>
      <c r="GO130" s="96"/>
    </row>
    <row r="131" spans="1:197" s="88" customFormat="1" ht="12">
      <c r="A131" s="87"/>
      <c r="B131" s="87"/>
      <c r="C131" s="172"/>
      <c r="D131" s="24"/>
      <c r="E131" s="79"/>
      <c r="F131" s="79"/>
      <c r="G131" s="24"/>
      <c r="J131" s="79"/>
      <c r="K131" s="24"/>
      <c r="M131" s="79"/>
      <c r="N131" s="79"/>
      <c r="O131" s="79"/>
      <c r="P131" s="24"/>
      <c r="Q131" s="79"/>
      <c r="U131" s="172"/>
      <c r="V131" s="79"/>
      <c r="W131" s="79"/>
      <c r="X131" s="79"/>
      <c r="Y131" s="79"/>
      <c r="Z131" s="79"/>
      <c r="AA131" s="79"/>
      <c r="AB131" s="79"/>
      <c r="AC131" s="79"/>
      <c r="AD131" s="79"/>
      <c r="AE131" s="79"/>
      <c r="AF131" s="79"/>
      <c r="AG131" s="79"/>
      <c r="AH131" s="79"/>
      <c r="AI131" s="79"/>
      <c r="AJ131" s="79"/>
      <c r="AK131" s="79"/>
      <c r="AL131" s="79"/>
      <c r="AM131" s="172"/>
      <c r="AO131" s="79"/>
      <c r="AP131" s="79"/>
      <c r="AQ131" s="79"/>
      <c r="AR131" s="79"/>
      <c r="BC131" s="79"/>
      <c r="BD131" s="79"/>
      <c r="BE131" s="172"/>
      <c r="BF131" s="79"/>
      <c r="BG131" s="79"/>
      <c r="BH131" s="79"/>
      <c r="BJ131" s="79"/>
      <c r="BK131" s="79"/>
      <c r="BL131" s="79"/>
      <c r="BM131" s="79"/>
      <c r="BN131" s="79"/>
      <c r="BO131" s="79"/>
      <c r="BP131" s="79"/>
      <c r="BQ131" s="79"/>
      <c r="BR131" s="79"/>
      <c r="BS131" s="79"/>
      <c r="BT131" s="79"/>
      <c r="BU131" s="79"/>
      <c r="BV131" s="79"/>
      <c r="BW131" s="89"/>
      <c r="BY131" s="79"/>
      <c r="CA131" s="79"/>
      <c r="CC131" s="79"/>
      <c r="CG131" s="79"/>
      <c r="CK131" s="79"/>
      <c r="CL131" s="79"/>
      <c r="CN131" s="43"/>
      <c r="CO131" s="89"/>
      <c r="CP131" s="79"/>
      <c r="CQ131" s="79"/>
      <c r="CR131" s="79"/>
      <c r="CS131" s="79"/>
      <c r="DG131" s="89"/>
      <c r="DH131" s="79"/>
      <c r="DI131" s="79"/>
      <c r="DJ131" s="79"/>
      <c r="DK131" s="79"/>
      <c r="DM131" s="79"/>
      <c r="DN131" s="79"/>
      <c r="DO131" s="79"/>
      <c r="DP131" s="79"/>
      <c r="DQ131" s="79"/>
      <c r="DR131" s="79"/>
      <c r="DS131" s="79"/>
      <c r="DT131" s="79"/>
      <c r="DU131" s="79"/>
      <c r="DV131" s="34"/>
      <c r="DW131" s="34"/>
      <c r="DX131" s="34"/>
      <c r="DZ131" s="79"/>
      <c r="EC131" s="90"/>
      <c r="ED131" s="90"/>
      <c r="EE131" s="90"/>
      <c r="EF131" s="90"/>
      <c r="EG131" s="91"/>
      <c r="EI131" s="79"/>
      <c r="EK131" s="79"/>
      <c r="EL131" s="79"/>
      <c r="EM131" s="79"/>
      <c r="EN131" s="79"/>
      <c r="EO131" s="55"/>
      <c r="EP131" s="55"/>
      <c r="EU131" s="90"/>
      <c r="EV131" s="90"/>
      <c r="EW131" s="90"/>
      <c r="EX131" s="90"/>
      <c r="EY131" s="90"/>
      <c r="EZ131" s="90"/>
      <c r="FA131" s="90"/>
      <c r="FB131" s="90"/>
      <c r="FC131" s="90"/>
      <c r="FD131" s="90"/>
      <c r="FE131" s="90"/>
      <c r="FG131" s="79"/>
      <c r="FH131" s="79"/>
      <c r="FI131" s="79"/>
      <c r="FJ131" s="79"/>
      <c r="FK131" s="79"/>
      <c r="FL131" s="79"/>
      <c r="FM131" s="79"/>
      <c r="FN131" s="79"/>
      <c r="FO131" s="79"/>
      <c r="FP131" s="79"/>
      <c r="FX131" s="96"/>
      <c r="GO131" s="96"/>
    </row>
    <row r="132" spans="2:197" s="3" customFormat="1" ht="12">
      <c r="B132" s="86"/>
      <c r="C132" s="173"/>
      <c r="U132" s="173"/>
      <c r="AM132" s="173"/>
      <c r="AQ132" s="43"/>
      <c r="BE132" s="173"/>
      <c r="CO132" s="93"/>
      <c r="DL132" s="79"/>
      <c r="DZ132" s="79"/>
      <c r="EA132" s="88"/>
      <c r="EH132" s="88"/>
      <c r="EJ132" s="88"/>
      <c r="EO132" s="56"/>
      <c r="EP132" s="56"/>
      <c r="FD132" s="88"/>
      <c r="FE132" s="92"/>
      <c r="FF132" s="88"/>
      <c r="FX132" s="96"/>
      <c r="GO132" s="96"/>
    </row>
    <row r="133" spans="1:197" s="3" customFormat="1" ht="12">
      <c r="A133" s="86"/>
      <c r="C133" s="173"/>
      <c r="U133" s="173"/>
      <c r="AM133" s="173"/>
      <c r="BE133" s="173"/>
      <c r="CO133" s="93"/>
      <c r="FE133" s="94"/>
      <c r="FX133" s="96"/>
      <c r="GO133" s="96"/>
    </row>
    <row r="134" spans="3:197" s="3" customFormat="1" ht="12">
      <c r="C134" s="173"/>
      <c r="U134" s="173"/>
      <c r="AM134" s="173"/>
      <c r="BE134" s="173"/>
      <c r="CO134" s="93"/>
      <c r="FE134" s="94"/>
      <c r="FX134" s="96"/>
      <c r="GO134" s="96"/>
    </row>
    <row r="135" spans="3:197" s="3" customFormat="1" ht="12">
      <c r="C135" s="173"/>
      <c r="U135" s="173"/>
      <c r="AM135" s="173"/>
      <c r="BE135" s="173"/>
      <c r="CO135" s="93"/>
      <c r="FE135" s="94"/>
      <c r="FX135" s="96"/>
      <c r="GO135" s="96"/>
    </row>
    <row r="136" spans="3:197" s="3" customFormat="1" ht="12">
      <c r="C136" s="173"/>
      <c r="U136" s="173"/>
      <c r="AM136" s="173"/>
      <c r="BE136" s="173"/>
      <c r="CO136" s="93"/>
      <c r="FE136" s="94"/>
      <c r="FX136" s="96"/>
      <c r="GO136" s="96"/>
    </row>
    <row r="137" spans="3:197" s="3" customFormat="1" ht="12">
      <c r="C137" s="173"/>
      <c r="U137" s="173"/>
      <c r="AM137" s="173"/>
      <c r="BE137" s="173"/>
      <c r="CO137" s="93"/>
      <c r="FE137" s="94"/>
      <c r="FX137" s="96"/>
      <c r="GO137" s="96"/>
    </row>
    <row r="138" spans="3:197" s="3" customFormat="1" ht="12">
      <c r="C138" s="173"/>
      <c r="U138" s="173"/>
      <c r="AM138" s="173"/>
      <c r="BE138" s="173"/>
      <c r="CO138" s="93"/>
      <c r="FE138" s="94"/>
      <c r="FX138" s="96"/>
      <c r="GO138" s="96"/>
    </row>
    <row r="139" spans="3:197" s="3" customFormat="1" ht="12">
      <c r="C139" s="173"/>
      <c r="U139" s="173"/>
      <c r="AM139" s="173"/>
      <c r="BE139" s="173"/>
      <c r="CO139" s="93"/>
      <c r="FE139" s="94"/>
      <c r="FX139" s="96"/>
      <c r="GO139" s="96"/>
    </row>
    <row r="140" spans="3:197" s="3" customFormat="1" ht="12">
      <c r="C140" s="173"/>
      <c r="U140" s="173"/>
      <c r="AM140" s="173"/>
      <c r="BE140" s="173"/>
      <c r="CO140" s="93"/>
      <c r="FE140" s="94"/>
      <c r="FX140" s="96"/>
      <c r="GO140" s="96"/>
    </row>
  </sheetData>
  <sheetProtection/>
  <mergeCells count="19">
    <mergeCell ref="DH6:DK6"/>
    <mergeCell ref="H6:S6"/>
    <mergeCell ref="BF6:BI6"/>
    <mergeCell ref="BJ6:BU6"/>
    <mergeCell ref="BX6:CA6"/>
    <mergeCell ref="Z6:AK6"/>
    <mergeCell ref="CB6:CM6"/>
    <mergeCell ref="AR6:BC6"/>
    <mergeCell ref="CP6:CS6"/>
    <mergeCell ref="CT6:DE6"/>
    <mergeCell ref="GC6:GN6"/>
    <mergeCell ref="FH6:FK6"/>
    <mergeCell ref="DL6:DW6"/>
    <mergeCell ref="EQ6:ET6"/>
    <mergeCell ref="FL6:FW6"/>
    <mergeCell ref="EC6:EM6"/>
    <mergeCell ref="EU6:FE6"/>
    <mergeCell ref="FY6:GB6"/>
    <mergeCell ref="DY6:EB6"/>
  </mergeCells>
  <printOptions/>
  <pageMargins left="0.3937007874015748" right="0" top="0.5905511811023623" bottom="0.3937007874015748" header="0.5118110236220472" footer="0.5118110236220472"/>
  <pageSetup horizontalDpi="600" verticalDpi="600" orientation="landscape" paperSize="9" r:id="rId1"/>
  <colBreaks count="2" manualBreakCount="2">
    <brk id="119" max="48" man="1"/>
    <brk id="134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Q140"/>
  <sheetViews>
    <sheetView zoomScale="122" zoomScaleNormal="122" zoomScaleSheetLayoutView="100" zoomScalePageLayoutView="0" workbookViewId="0" topLeftCell="A1">
      <pane xSplit="2" ySplit="8" topLeftCell="FW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G23" sqref="GG23"/>
    </sheetView>
  </sheetViews>
  <sheetFormatPr defaultColWidth="9.00390625" defaultRowHeight="12.75"/>
  <cols>
    <col min="1" max="1" width="41.625" style="18" hidden="1" customWidth="1"/>
    <col min="2" max="2" width="53.375" style="18" customWidth="1"/>
    <col min="3" max="3" width="9.125" style="177" customWidth="1"/>
    <col min="4" max="18" width="9.125" style="18" customWidth="1"/>
    <col min="19" max="20" width="9.25390625" style="18" customWidth="1"/>
    <col min="21" max="21" width="9.125" style="177" customWidth="1"/>
    <col min="22" max="38" width="9.125" style="18" customWidth="1"/>
    <col min="39" max="39" width="9.125" style="177" customWidth="1"/>
    <col min="40" max="53" width="9.125" style="18" customWidth="1"/>
    <col min="54" max="56" width="9.125" style="20" customWidth="1"/>
    <col min="57" max="57" width="9.125" style="227" customWidth="1"/>
    <col min="58" max="74" width="9.125" style="18" customWidth="1"/>
    <col min="75" max="75" width="9.125" style="177" customWidth="1"/>
    <col min="76" max="76" width="11.125" style="18" bestFit="1" customWidth="1"/>
    <col min="77" max="89" width="9.125" style="18" customWidth="1"/>
    <col min="90" max="90" width="9.125" style="51" customWidth="1"/>
    <col min="91" max="92" width="9.125" style="18" customWidth="1"/>
    <col min="93" max="93" width="10.375" style="177" bestFit="1" customWidth="1"/>
    <col min="94" max="94" width="9.125" style="18" customWidth="1"/>
    <col min="95" max="95" width="9.75390625" style="18" customWidth="1"/>
    <col min="96" max="96" width="9.125" style="18" customWidth="1"/>
    <col min="97" max="97" width="10.375" style="18" bestFit="1" customWidth="1"/>
    <col min="98" max="110" width="9.125" style="18" customWidth="1"/>
    <col min="111" max="111" width="9.125" style="201" customWidth="1"/>
    <col min="112" max="114" width="9.125" style="18" customWidth="1"/>
    <col min="115" max="115" width="11.25390625" style="18" customWidth="1"/>
    <col min="116" max="120" width="9.125" style="18" customWidth="1"/>
    <col min="121" max="121" width="9.125" style="186" customWidth="1"/>
    <col min="122" max="129" width="9.125" style="18" customWidth="1"/>
    <col min="130" max="130" width="9.125" style="13" customWidth="1"/>
    <col min="131" max="133" width="9.125" style="18" customWidth="1"/>
    <col min="134" max="146" width="9.25390625" style="18" customWidth="1"/>
    <col min="147" max="147" width="9.125" style="177" customWidth="1"/>
    <col min="148" max="16384" width="9.125" style="18" customWidth="1"/>
  </cols>
  <sheetData>
    <row r="1" ht="12">
      <c r="FJ1" s="18" t="s">
        <v>87</v>
      </c>
    </row>
    <row r="2" spans="1:147" s="2" customFormat="1" ht="16.5" customHeight="1">
      <c r="A2" s="238" t="s">
        <v>43</v>
      </c>
      <c r="B2" s="238" t="s">
        <v>79</v>
      </c>
      <c r="C2" s="228"/>
      <c r="D2" s="9"/>
      <c r="E2" s="9"/>
      <c r="F2" s="9"/>
      <c r="G2" s="9"/>
      <c r="H2" s="9"/>
      <c r="U2" s="160"/>
      <c r="AM2" s="160"/>
      <c r="BB2" s="3"/>
      <c r="BC2" s="3"/>
      <c r="BD2" s="3"/>
      <c r="BE2" s="173"/>
      <c r="BW2" s="160"/>
      <c r="CL2" s="47"/>
      <c r="CO2" s="160"/>
      <c r="DG2" s="81"/>
      <c r="DQ2" s="30"/>
      <c r="DZ2" s="32"/>
      <c r="EQ2" s="160"/>
    </row>
    <row r="3" spans="1:147" s="7" customFormat="1" ht="18" customHeight="1" thickBot="1">
      <c r="A3" s="4" t="s">
        <v>81</v>
      </c>
      <c r="B3" s="58" t="s">
        <v>78</v>
      </c>
      <c r="C3" s="229"/>
      <c r="D3" s="9"/>
      <c r="E3" s="9"/>
      <c r="F3" s="9"/>
      <c r="G3" s="9"/>
      <c r="H3" s="9"/>
      <c r="U3" s="180"/>
      <c r="AM3" s="180"/>
      <c r="BB3" s="8"/>
      <c r="BC3" s="8"/>
      <c r="BD3" s="8"/>
      <c r="BE3" s="218"/>
      <c r="BW3" s="180"/>
      <c r="CL3" s="48"/>
      <c r="CO3" s="180"/>
      <c r="DG3" s="198"/>
      <c r="DQ3" s="183"/>
      <c r="EI3" s="183"/>
      <c r="EQ3" s="180"/>
    </row>
    <row r="4" spans="3:198" s="35" customFormat="1" ht="18" customHeight="1" thickBot="1">
      <c r="C4" s="162">
        <v>2003</v>
      </c>
      <c r="D4" s="37" t="s">
        <v>1</v>
      </c>
      <c r="E4" s="37" t="s">
        <v>2</v>
      </c>
      <c r="F4" s="37" t="s">
        <v>3</v>
      </c>
      <c r="G4" s="37" t="s">
        <v>4</v>
      </c>
      <c r="H4" s="37" t="s">
        <v>22</v>
      </c>
      <c r="I4" s="37" t="s">
        <v>23</v>
      </c>
      <c r="J4" s="37" t="s">
        <v>24</v>
      </c>
      <c r="K4" s="37" t="s">
        <v>25</v>
      </c>
      <c r="L4" s="37" t="s">
        <v>26</v>
      </c>
      <c r="M4" s="37" t="s">
        <v>27</v>
      </c>
      <c r="N4" s="37" t="s">
        <v>28</v>
      </c>
      <c r="O4" s="37" t="s">
        <v>29</v>
      </c>
      <c r="P4" s="37" t="s">
        <v>30</v>
      </c>
      <c r="Q4" s="37" t="s">
        <v>31</v>
      </c>
      <c r="R4" s="37" t="s">
        <v>32</v>
      </c>
      <c r="S4" s="37" t="s">
        <v>33</v>
      </c>
      <c r="T4" s="37"/>
      <c r="U4" s="162">
        <v>2004</v>
      </c>
      <c r="V4" s="37" t="s">
        <v>1</v>
      </c>
      <c r="W4" s="37" t="s">
        <v>2</v>
      </c>
      <c r="X4" s="37" t="s">
        <v>3</v>
      </c>
      <c r="Y4" s="37" t="s">
        <v>4</v>
      </c>
      <c r="Z4" s="37" t="s">
        <v>22</v>
      </c>
      <c r="AA4" s="37" t="s">
        <v>23</v>
      </c>
      <c r="AB4" s="37" t="s">
        <v>24</v>
      </c>
      <c r="AC4" s="37" t="s">
        <v>25</v>
      </c>
      <c r="AD4" s="37" t="s">
        <v>26</v>
      </c>
      <c r="AE4" s="37" t="s">
        <v>27</v>
      </c>
      <c r="AF4" s="37" t="s">
        <v>28</v>
      </c>
      <c r="AG4" s="37" t="s">
        <v>29</v>
      </c>
      <c r="AH4" s="37" t="s">
        <v>30</v>
      </c>
      <c r="AI4" s="37" t="s">
        <v>31</v>
      </c>
      <c r="AJ4" s="37" t="s">
        <v>32</v>
      </c>
      <c r="AK4" s="37" t="s">
        <v>33</v>
      </c>
      <c r="AL4" s="37"/>
      <c r="AM4" s="162">
        <v>2005</v>
      </c>
      <c r="AN4" s="37" t="s">
        <v>1</v>
      </c>
      <c r="AO4" s="37" t="s">
        <v>2</v>
      </c>
      <c r="AP4" s="37" t="s">
        <v>3</v>
      </c>
      <c r="AQ4" s="37" t="s">
        <v>4</v>
      </c>
      <c r="AR4" s="37" t="s">
        <v>22</v>
      </c>
      <c r="AS4" s="37" t="s">
        <v>23</v>
      </c>
      <c r="AT4" s="37" t="s">
        <v>24</v>
      </c>
      <c r="AU4" s="37" t="s">
        <v>25</v>
      </c>
      <c r="AV4" s="37" t="s">
        <v>26</v>
      </c>
      <c r="AW4" s="37" t="s">
        <v>27</v>
      </c>
      <c r="AX4" s="37" t="s">
        <v>28</v>
      </c>
      <c r="AY4" s="37" t="s">
        <v>29</v>
      </c>
      <c r="AZ4" s="37" t="s">
        <v>30</v>
      </c>
      <c r="BA4" s="37" t="s">
        <v>31</v>
      </c>
      <c r="BB4" s="38" t="s">
        <v>32</v>
      </c>
      <c r="BC4" s="38" t="s">
        <v>33</v>
      </c>
      <c r="BD4" s="38"/>
      <c r="BE4" s="212">
        <v>2006</v>
      </c>
      <c r="BF4" s="37" t="s">
        <v>1</v>
      </c>
      <c r="BG4" s="37" t="s">
        <v>2</v>
      </c>
      <c r="BH4" s="37" t="s">
        <v>3</v>
      </c>
      <c r="BI4" s="37" t="s">
        <v>4</v>
      </c>
      <c r="BJ4" s="37" t="s">
        <v>22</v>
      </c>
      <c r="BK4" s="37" t="s">
        <v>23</v>
      </c>
      <c r="BL4" s="37" t="s">
        <v>24</v>
      </c>
      <c r="BM4" s="37" t="s">
        <v>25</v>
      </c>
      <c r="BN4" s="37" t="s">
        <v>26</v>
      </c>
      <c r="BO4" s="37" t="s">
        <v>27</v>
      </c>
      <c r="BP4" s="37" t="s">
        <v>28</v>
      </c>
      <c r="BQ4" s="37" t="s">
        <v>29</v>
      </c>
      <c r="BR4" s="37" t="s">
        <v>30</v>
      </c>
      <c r="BS4" s="37" t="s">
        <v>31</v>
      </c>
      <c r="BT4" s="38" t="s">
        <v>32</v>
      </c>
      <c r="BU4" s="38" t="s">
        <v>33</v>
      </c>
      <c r="BV4" s="38"/>
      <c r="BW4" s="212">
        <v>2007</v>
      </c>
      <c r="BX4" s="37" t="s">
        <v>1</v>
      </c>
      <c r="BY4" s="37" t="s">
        <v>2</v>
      </c>
      <c r="BZ4" s="37" t="s">
        <v>3</v>
      </c>
      <c r="CA4" s="37" t="s">
        <v>4</v>
      </c>
      <c r="CB4" s="37" t="s">
        <v>22</v>
      </c>
      <c r="CC4" s="37" t="s">
        <v>23</v>
      </c>
      <c r="CD4" s="37" t="s">
        <v>24</v>
      </c>
      <c r="CE4" s="37" t="s">
        <v>25</v>
      </c>
      <c r="CF4" s="37" t="s">
        <v>26</v>
      </c>
      <c r="CG4" s="37" t="s">
        <v>27</v>
      </c>
      <c r="CH4" s="37" t="s">
        <v>28</v>
      </c>
      <c r="CI4" s="37" t="s">
        <v>29</v>
      </c>
      <c r="CJ4" s="37" t="s">
        <v>30</v>
      </c>
      <c r="CK4" s="37" t="s">
        <v>31</v>
      </c>
      <c r="CL4" s="49" t="s">
        <v>32</v>
      </c>
      <c r="CM4" s="38" t="s">
        <v>33</v>
      </c>
      <c r="CN4" s="38"/>
      <c r="CO4" s="166">
        <v>2008</v>
      </c>
      <c r="CP4" s="37" t="s">
        <v>1</v>
      </c>
      <c r="CQ4" s="37" t="s">
        <v>2</v>
      </c>
      <c r="CR4" s="37" t="s">
        <v>3</v>
      </c>
      <c r="CS4" s="37" t="s">
        <v>4</v>
      </c>
      <c r="CT4" s="37" t="s">
        <v>22</v>
      </c>
      <c r="CU4" s="37" t="s">
        <v>23</v>
      </c>
      <c r="CV4" s="37" t="s">
        <v>24</v>
      </c>
      <c r="CW4" s="37" t="s">
        <v>25</v>
      </c>
      <c r="CX4" s="37" t="s">
        <v>26</v>
      </c>
      <c r="CY4" s="37" t="s">
        <v>27</v>
      </c>
      <c r="CZ4" s="37" t="s">
        <v>28</v>
      </c>
      <c r="DA4" s="37" t="s">
        <v>29</v>
      </c>
      <c r="DB4" s="37" t="s">
        <v>30</v>
      </c>
      <c r="DC4" s="37" t="s">
        <v>31</v>
      </c>
      <c r="DD4" s="38" t="s">
        <v>32</v>
      </c>
      <c r="DE4" s="38" t="s">
        <v>33</v>
      </c>
      <c r="DF4" s="38"/>
      <c r="DG4" s="38"/>
      <c r="DH4" s="37" t="s">
        <v>1</v>
      </c>
      <c r="DI4" s="37" t="s">
        <v>2</v>
      </c>
      <c r="DJ4" s="37" t="s">
        <v>3</v>
      </c>
      <c r="DK4" s="37" t="s">
        <v>4</v>
      </c>
      <c r="DL4" s="37" t="s">
        <v>22</v>
      </c>
      <c r="DM4" s="37" t="s">
        <v>23</v>
      </c>
      <c r="DN4" s="37" t="s">
        <v>24</v>
      </c>
      <c r="DO4" s="37" t="s">
        <v>25</v>
      </c>
      <c r="DP4" s="37" t="s">
        <v>26</v>
      </c>
      <c r="DQ4" s="37" t="s">
        <v>27</v>
      </c>
      <c r="DR4" s="37" t="s">
        <v>28</v>
      </c>
      <c r="DS4" s="37" t="s">
        <v>29</v>
      </c>
      <c r="DT4" s="37" t="s">
        <v>30</v>
      </c>
      <c r="DU4" s="37" t="s">
        <v>31</v>
      </c>
      <c r="DV4" s="37" t="s">
        <v>32</v>
      </c>
      <c r="DW4" s="38" t="s">
        <v>33</v>
      </c>
      <c r="DX4" s="254"/>
      <c r="DY4" s="239">
        <v>2010</v>
      </c>
      <c r="DZ4" s="37" t="s">
        <v>1</v>
      </c>
      <c r="EA4" s="37" t="s">
        <v>2</v>
      </c>
      <c r="EB4" s="37" t="s">
        <v>3</v>
      </c>
      <c r="EC4" s="37" t="s">
        <v>4</v>
      </c>
      <c r="ED4" s="37" t="s">
        <v>22</v>
      </c>
      <c r="EE4" s="37" t="s">
        <v>23</v>
      </c>
      <c r="EF4" s="37" t="s">
        <v>24</v>
      </c>
      <c r="EG4" s="37" t="s">
        <v>25</v>
      </c>
      <c r="EH4" s="37" t="s">
        <v>26</v>
      </c>
      <c r="EI4" s="37" t="s">
        <v>27</v>
      </c>
      <c r="EJ4" s="37" t="s">
        <v>28</v>
      </c>
      <c r="EK4" s="37" t="s">
        <v>29</v>
      </c>
      <c r="EL4" s="37" t="s">
        <v>30</v>
      </c>
      <c r="EM4" s="37" t="s">
        <v>31</v>
      </c>
      <c r="EN4" s="37" t="s">
        <v>32</v>
      </c>
      <c r="EO4" s="38" t="s">
        <v>33</v>
      </c>
      <c r="EP4" s="254"/>
      <c r="EQ4" s="239"/>
      <c r="ER4" s="37" t="s">
        <v>1</v>
      </c>
      <c r="ES4" s="37" t="s">
        <v>2</v>
      </c>
      <c r="ET4" s="37" t="s">
        <v>3</v>
      </c>
      <c r="EU4" s="37" t="s">
        <v>4</v>
      </c>
      <c r="EV4" s="37" t="s">
        <v>22</v>
      </c>
      <c r="EW4" s="37" t="s">
        <v>23</v>
      </c>
      <c r="EX4" s="37" t="s">
        <v>24</v>
      </c>
      <c r="EY4" s="37" t="s">
        <v>25</v>
      </c>
      <c r="EZ4" s="37" t="s">
        <v>26</v>
      </c>
      <c r="FA4" s="37" t="s">
        <v>27</v>
      </c>
      <c r="FB4" s="37" t="s">
        <v>28</v>
      </c>
      <c r="FC4" s="37" t="s">
        <v>29</v>
      </c>
      <c r="FD4" s="37" t="s">
        <v>30</v>
      </c>
      <c r="FE4" s="37" t="s">
        <v>31</v>
      </c>
      <c r="FF4" s="37" t="s">
        <v>32</v>
      </c>
      <c r="FG4" s="38" t="s">
        <v>33</v>
      </c>
      <c r="FH4" s="38"/>
      <c r="FJ4" s="37" t="s">
        <v>1</v>
      </c>
      <c r="FK4" s="37" t="s">
        <v>2</v>
      </c>
      <c r="FL4" s="37" t="s">
        <v>3</v>
      </c>
      <c r="FM4" s="37" t="s">
        <v>4</v>
      </c>
      <c r="FN4" s="37" t="s">
        <v>22</v>
      </c>
      <c r="FO4" s="37" t="s">
        <v>23</v>
      </c>
      <c r="FP4" s="37" t="s">
        <v>24</v>
      </c>
      <c r="FQ4" s="37" t="s">
        <v>25</v>
      </c>
      <c r="FR4" s="37" t="s">
        <v>26</v>
      </c>
      <c r="FS4" s="37" t="s">
        <v>27</v>
      </c>
      <c r="FT4" s="37" t="s">
        <v>28</v>
      </c>
      <c r="FU4" s="37" t="s">
        <v>29</v>
      </c>
      <c r="FV4" s="37" t="s">
        <v>30</v>
      </c>
      <c r="FW4" s="37" t="s">
        <v>31</v>
      </c>
      <c r="FX4" s="37" t="s">
        <v>32</v>
      </c>
      <c r="FY4" s="38" t="s">
        <v>33</v>
      </c>
      <c r="FZ4" s="38"/>
      <c r="GA4" s="37" t="s">
        <v>1</v>
      </c>
      <c r="GB4" s="37" t="s">
        <v>2</v>
      </c>
      <c r="GC4" s="37" t="s">
        <v>3</v>
      </c>
      <c r="GD4" s="37" t="s">
        <v>4</v>
      </c>
      <c r="GE4" s="37" t="s">
        <v>22</v>
      </c>
      <c r="GF4" s="37" t="s">
        <v>23</v>
      </c>
      <c r="GG4" s="37" t="s">
        <v>24</v>
      </c>
      <c r="GH4" s="37" t="s">
        <v>25</v>
      </c>
      <c r="GI4" s="37" t="s">
        <v>26</v>
      </c>
      <c r="GJ4" s="37" t="s">
        <v>27</v>
      </c>
      <c r="GK4" s="37"/>
      <c r="GL4" s="37" t="s">
        <v>29</v>
      </c>
      <c r="GM4" s="37" t="s">
        <v>30</v>
      </c>
      <c r="GN4" s="37" t="s">
        <v>31</v>
      </c>
      <c r="GO4" s="37" t="s">
        <v>32</v>
      </c>
      <c r="GP4" s="38" t="s">
        <v>33</v>
      </c>
    </row>
    <row r="5" spans="21:186" s="9" customFormat="1" ht="18" customHeight="1">
      <c r="U5" s="163"/>
      <c r="AM5" s="163"/>
      <c r="BB5" s="10"/>
      <c r="BC5" s="10"/>
      <c r="BD5" s="10"/>
      <c r="BE5" s="219"/>
      <c r="BW5" s="163"/>
      <c r="CL5" s="50"/>
      <c r="CO5" s="163"/>
      <c r="DG5" s="199"/>
      <c r="DJ5" s="11"/>
      <c r="DK5" s="11"/>
      <c r="DL5" s="11"/>
      <c r="DM5" s="11"/>
      <c r="DN5" s="11"/>
      <c r="DO5" s="11"/>
      <c r="DP5" s="11"/>
      <c r="DQ5" s="184"/>
      <c r="EB5" s="11"/>
      <c r="EC5" s="11"/>
      <c r="ED5" s="11"/>
      <c r="EE5" s="11"/>
      <c r="EF5" s="11"/>
      <c r="EG5" s="11"/>
      <c r="EH5" s="11"/>
      <c r="EI5" s="184"/>
      <c r="EQ5" s="163"/>
      <c r="ET5" s="11"/>
      <c r="EU5" s="11"/>
      <c r="FL5" s="11"/>
      <c r="FM5" s="11"/>
      <c r="GC5" s="11"/>
      <c r="GD5" s="11"/>
    </row>
    <row r="6" spans="21:186" s="9" customFormat="1" ht="18" customHeight="1" thickBot="1">
      <c r="U6" s="164"/>
      <c r="AM6" s="164"/>
      <c r="BB6" s="10"/>
      <c r="BC6" s="10"/>
      <c r="BD6" s="10"/>
      <c r="BE6" s="219"/>
      <c r="BU6" s="11"/>
      <c r="BV6" s="11"/>
      <c r="BW6" s="164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68"/>
      <c r="CM6" s="11"/>
      <c r="CN6" s="11"/>
      <c r="CO6" s="164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84"/>
      <c r="DH6" s="11"/>
      <c r="DI6" s="11"/>
      <c r="DJ6" s="11"/>
      <c r="DK6" s="11"/>
      <c r="DL6" s="11"/>
      <c r="DM6" s="11"/>
      <c r="DN6" s="11"/>
      <c r="DO6" s="11"/>
      <c r="DP6" s="11"/>
      <c r="DQ6" s="184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84"/>
      <c r="EJ6" s="11"/>
      <c r="EK6" s="11"/>
      <c r="EL6" s="11"/>
      <c r="EM6" s="11"/>
      <c r="EN6" s="11"/>
      <c r="EO6" s="11"/>
      <c r="EP6" s="11"/>
      <c r="EQ6" s="163"/>
      <c r="ER6" s="11"/>
      <c r="ES6" s="11"/>
      <c r="ET6" s="11"/>
      <c r="EU6" s="11"/>
      <c r="FJ6" s="11"/>
      <c r="FK6" s="11"/>
      <c r="FL6" s="11"/>
      <c r="FM6" s="11"/>
      <c r="GA6" s="11"/>
      <c r="GB6" s="11"/>
      <c r="GC6" s="11"/>
      <c r="GD6" s="11"/>
    </row>
    <row r="7" spans="1:187" s="151" customFormat="1" ht="18" customHeight="1">
      <c r="A7" s="12"/>
      <c r="C7" s="230"/>
      <c r="D7" s="374"/>
      <c r="E7" s="374"/>
      <c r="F7" s="374"/>
      <c r="G7" s="374"/>
      <c r="H7" s="375" t="s">
        <v>21</v>
      </c>
      <c r="I7" s="375"/>
      <c r="J7" s="375"/>
      <c r="K7" s="375"/>
      <c r="L7" s="375"/>
      <c r="M7" s="375"/>
      <c r="N7" s="375"/>
      <c r="O7" s="375"/>
      <c r="P7" s="375"/>
      <c r="Q7" s="375"/>
      <c r="R7" s="375"/>
      <c r="S7" s="375"/>
      <c r="T7" s="196"/>
      <c r="U7" s="165"/>
      <c r="V7" s="374"/>
      <c r="W7" s="374"/>
      <c r="X7" s="374"/>
      <c r="Y7" s="374"/>
      <c r="Z7" s="375" t="s">
        <v>44</v>
      </c>
      <c r="AA7" s="375"/>
      <c r="AB7" s="375"/>
      <c r="AC7" s="375"/>
      <c r="AD7" s="375"/>
      <c r="AE7" s="375"/>
      <c r="AF7" s="375"/>
      <c r="AG7" s="375"/>
      <c r="AH7" s="375"/>
      <c r="AI7" s="375"/>
      <c r="AJ7" s="375"/>
      <c r="AK7" s="375"/>
      <c r="AL7" s="196"/>
      <c r="AM7" s="165"/>
      <c r="AN7" s="374"/>
      <c r="AO7" s="374"/>
      <c r="AP7" s="374"/>
      <c r="AQ7" s="374"/>
      <c r="AR7" s="375" t="s">
        <v>45</v>
      </c>
      <c r="AS7" s="375"/>
      <c r="AT7" s="375"/>
      <c r="AU7" s="375"/>
      <c r="AV7" s="375"/>
      <c r="AW7" s="375"/>
      <c r="AX7" s="375"/>
      <c r="AY7" s="375"/>
      <c r="AZ7" s="375"/>
      <c r="BA7" s="375"/>
      <c r="BB7" s="375"/>
      <c r="BC7" s="375"/>
      <c r="BD7" s="196"/>
      <c r="BE7" s="197"/>
      <c r="BF7" s="374"/>
      <c r="BG7" s="374"/>
      <c r="BH7" s="374"/>
      <c r="BI7" s="374"/>
      <c r="BJ7" s="375" t="s">
        <v>46</v>
      </c>
      <c r="BK7" s="375"/>
      <c r="BL7" s="375"/>
      <c r="BM7" s="375"/>
      <c r="BN7" s="375"/>
      <c r="BO7" s="375"/>
      <c r="BP7" s="375"/>
      <c r="BQ7" s="375"/>
      <c r="BR7" s="375"/>
      <c r="BS7" s="375"/>
      <c r="BT7" s="375"/>
      <c r="BW7" s="210"/>
      <c r="BX7" s="374"/>
      <c r="BY7" s="374"/>
      <c r="BZ7" s="374"/>
      <c r="CA7" s="374"/>
      <c r="CB7" s="375" t="s">
        <v>47</v>
      </c>
      <c r="CC7" s="375"/>
      <c r="CD7" s="375"/>
      <c r="CE7" s="375"/>
      <c r="CF7" s="375"/>
      <c r="CG7" s="375"/>
      <c r="CH7" s="375"/>
      <c r="CI7" s="375"/>
      <c r="CJ7" s="375"/>
      <c r="CK7" s="375"/>
      <c r="CL7" s="375"/>
      <c r="CO7" s="210"/>
      <c r="CP7" s="374"/>
      <c r="CQ7" s="374"/>
      <c r="CR7" s="374"/>
      <c r="CS7" s="374"/>
      <c r="CT7" s="375">
        <v>2008</v>
      </c>
      <c r="CU7" s="375"/>
      <c r="CV7" s="375"/>
      <c r="CW7" s="375"/>
      <c r="CX7" s="375"/>
      <c r="CY7" s="375"/>
      <c r="CZ7" s="375"/>
      <c r="DA7" s="375"/>
      <c r="DB7" s="375"/>
      <c r="DC7" s="375"/>
      <c r="DD7" s="375"/>
      <c r="DE7" s="377"/>
      <c r="DF7" s="235"/>
      <c r="DG7" s="200"/>
      <c r="DH7" s="375">
        <v>2009</v>
      </c>
      <c r="DI7" s="375"/>
      <c r="DJ7" s="375"/>
      <c r="DK7" s="375"/>
      <c r="DL7" s="375">
        <v>2009</v>
      </c>
      <c r="DM7" s="375"/>
      <c r="DN7" s="375"/>
      <c r="DO7" s="375"/>
      <c r="DP7" s="375"/>
      <c r="DQ7" s="375"/>
      <c r="DR7" s="375"/>
      <c r="DS7" s="375"/>
      <c r="DT7" s="375"/>
      <c r="DU7" s="375"/>
      <c r="DV7" s="375"/>
      <c r="DW7" s="377"/>
      <c r="DX7" s="235"/>
      <c r="DY7" s="235"/>
      <c r="DZ7" s="375">
        <v>2010</v>
      </c>
      <c r="EA7" s="375"/>
      <c r="EB7" s="375"/>
      <c r="EC7" s="375"/>
      <c r="ED7" s="375">
        <v>2010</v>
      </c>
      <c r="EE7" s="375"/>
      <c r="EF7" s="375"/>
      <c r="EG7" s="375"/>
      <c r="EH7" s="375"/>
      <c r="EI7" s="375"/>
      <c r="EJ7" s="375"/>
      <c r="EK7" s="375"/>
      <c r="EL7" s="375"/>
      <c r="EM7" s="375"/>
      <c r="EN7" s="375"/>
      <c r="EO7" s="377"/>
      <c r="EP7" s="235"/>
      <c r="EQ7" s="210"/>
      <c r="ER7" s="375">
        <v>2011</v>
      </c>
      <c r="ES7" s="375"/>
      <c r="ET7" s="375"/>
      <c r="EU7" s="375"/>
      <c r="EV7" s="375"/>
      <c r="FB7" s="237">
        <v>2011</v>
      </c>
      <c r="FJ7" s="375">
        <v>2012</v>
      </c>
      <c r="FK7" s="375"/>
      <c r="FL7" s="375"/>
      <c r="FM7" s="375"/>
      <c r="FN7" s="375"/>
      <c r="FT7" s="237">
        <v>2012</v>
      </c>
      <c r="GA7" s="375">
        <v>2013</v>
      </c>
      <c r="GB7" s="375"/>
      <c r="GC7" s="375"/>
      <c r="GD7" s="375"/>
      <c r="GE7" s="375"/>
    </row>
    <row r="8" spans="2:198" s="122" customFormat="1" ht="24.75" customHeight="1" thickBot="1">
      <c r="B8" s="122" t="s">
        <v>49</v>
      </c>
      <c r="C8" s="231">
        <v>2003</v>
      </c>
      <c r="D8" s="122" t="s">
        <v>1</v>
      </c>
      <c r="E8" s="122" t="s">
        <v>2</v>
      </c>
      <c r="F8" s="122" t="s">
        <v>3</v>
      </c>
      <c r="G8" s="122" t="s">
        <v>4</v>
      </c>
      <c r="H8" s="122" t="s">
        <v>5</v>
      </c>
      <c r="I8" s="122" t="s">
        <v>6</v>
      </c>
      <c r="J8" s="122" t="s">
        <v>7</v>
      </c>
      <c r="K8" s="122" t="s">
        <v>8</v>
      </c>
      <c r="L8" s="122" t="s">
        <v>9</v>
      </c>
      <c r="M8" s="122" t="s">
        <v>10</v>
      </c>
      <c r="N8" s="122" t="s">
        <v>11</v>
      </c>
      <c r="O8" s="122" t="s">
        <v>12</v>
      </c>
      <c r="P8" s="122" t="s">
        <v>16</v>
      </c>
      <c r="Q8" s="122" t="s">
        <v>13</v>
      </c>
      <c r="R8" s="122" t="s">
        <v>14</v>
      </c>
      <c r="S8" s="122" t="s">
        <v>15</v>
      </c>
      <c r="U8" s="166">
        <v>2004</v>
      </c>
      <c r="V8" s="122" t="s">
        <v>1</v>
      </c>
      <c r="W8" s="122" t="s">
        <v>2</v>
      </c>
      <c r="X8" s="122" t="s">
        <v>3</v>
      </c>
      <c r="Y8" s="122" t="s">
        <v>4</v>
      </c>
      <c r="Z8" s="122" t="s">
        <v>5</v>
      </c>
      <c r="AA8" s="122" t="s">
        <v>6</v>
      </c>
      <c r="AB8" s="122" t="s">
        <v>7</v>
      </c>
      <c r="AC8" s="122" t="s">
        <v>8</v>
      </c>
      <c r="AD8" s="122" t="s">
        <v>9</v>
      </c>
      <c r="AE8" s="122" t="s">
        <v>10</v>
      </c>
      <c r="AF8" s="122" t="s">
        <v>11</v>
      </c>
      <c r="AG8" s="122" t="s">
        <v>12</v>
      </c>
      <c r="AH8" s="122" t="s">
        <v>16</v>
      </c>
      <c r="AI8" s="122" t="s">
        <v>13</v>
      </c>
      <c r="AJ8" s="122" t="s">
        <v>14</v>
      </c>
      <c r="AK8" s="122" t="s">
        <v>15</v>
      </c>
      <c r="AM8" s="166">
        <v>2005</v>
      </c>
      <c r="AN8" s="122" t="s">
        <v>1</v>
      </c>
      <c r="AO8" s="122" t="s">
        <v>2</v>
      </c>
      <c r="AP8" s="122" t="s">
        <v>3</v>
      </c>
      <c r="AQ8" s="122" t="s">
        <v>4</v>
      </c>
      <c r="AR8" s="122" t="s">
        <v>5</v>
      </c>
      <c r="AS8" s="122" t="s">
        <v>6</v>
      </c>
      <c r="AT8" s="122" t="s">
        <v>7</v>
      </c>
      <c r="AU8" s="122" t="s">
        <v>8</v>
      </c>
      <c r="AV8" s="122" t="s">
        <v>9</v>
      </c>
      <c r="AW8" s="122" t="s">
        <v>10</v>
      </c>
      <c r="AX8" s="122" t="s">
        <v>11</v>
      </c>
      <c r="AY8" s="122" t="s">
        <v>12</v>
      </c>
      <c r="AZ8" s="122" t="s">
        <v>16</v>
      </c>
      <c r="BA8" s="122" t="s">
        <v>13</v>
      </c>
      <c r="BB8" s="122" t="s">
        <v>14</v>
      </c>
      <c r="BC8" s="122" t="s">
        <v>15</v>
      </c>
      <c r="BE8" s="166">
        <v>2006</v>
      </c>
      <c r="BF8" s="122" t="s">
        <v>1</v>
      </c>
      <c r="BG8" s="122" t="s">
        <v>2</v>
      </c>
      <c r="BH8" s="122" t="s">
        <v>3</v>
      </c>
      <c r="BI8" s="122" t="s">
        <v>4</v>
      </c>
      <c r="BJ8" s="122" t="s">
        <v>5</v>
      </c>
      <c r="BK8" s="122" t="s">
        <v>6</v>
      </c>
      <c r="BL8" s="122" t="s">
        <v>7</v>
      </c>
      <c r="BM8" s="122" t="s">
        <v>8</v>
      </c>
      <c r="BN8" s="122" t="s">
        <v>9</v>
      </c>
      <c r="BO8" s="122" t="s">
        <v>10</v>
      </c>
      <c r="BP8" s="122" t="s">
        <v>11</v>
      </c>
      <c r="BQ8" s="122" t="s">
        <v>12</v>
      </c>
      <c r="BR8" s="122" t="s">
        <v>16</v>
      </c>
      <c r="BS8" s="122" t="s">
        <v>13</v>
      </c>
      <c r="BT8" s="122" t="s">
        <v>14</v>
      </c>
      <c r="BU8" s="122" t="s">
        <v>15</v>
      </c>
      <c r="BW8" s="166">
        <v>2007</v>
      </c>
      <c r="BX8" s="122" t="s">
        <v>1</v>
      </c>
      <c r="BY8" s="122" t="s">
        <v>2</v>
      </c>
      <c r="BZ8" s="122" t="s">
        <v>3</v>
      </c>
      <c r="CA8" s="122" t="s">
        <v>4</v>
      </c>
      <c r="CB8" s="122" t="s">
        <v>5</v>
      </c>
      <c r="CC8" s="122" t="s">
        <v>6</v>
      </c>
      <c r="CD8" s="122" t="s">
        <v>7</v>
      </c>
      <c r="CE8" s="122" t="s">
        <v>8</v>
      </c>
      <c r="CF8" s="122" t="s">
        <v>9</v>
      </c>
      <c r="CG8" s="122" t="s">
        <v>10</v>
      </c>
      <c r="CH8" s="122" t="s">
        <v>11</v>
      </c>
      <c r="CI8" s="122" t="s">
        <v>12</v>
      </c>
      <c r="CJ8" s="122" t="s">
        <v>16</v>
      </c>
      <c r="CK8" s="122" t="s">
        <v>13</v>
      </c>
      <c r="CL8" s="141" t="s">
        <v>14</v>
      </c>
      <c r="CM8" s="122" t="s">
        <v>15</v>
      </c>
      <c r="CO8" s="166">
        <v>2008</v>
      </c>
      <c r="CP8" s="122" t="s">
        <v>1</v>
      </c>
      <c r="CQ8" s="122" t="s">
        <v>2</v>
      </c>
      <c r="CR8" s="122" t="s">
        <v>3</v>
      </c>
      <c r="CS8" s="122" t="s">
        <v>4</v>
      </c>
      <c r="CT8" s="122" t="s">
        <v>5</v>
      </c>
      <c r="CU8" s="122" t="s">
        <v>6</v>
      </c>
      <c r="CV8" s="122" t="s">
        <v>7</v>
      </c>
      <c r="CW8" s="122" t="s">
        <v>8</v>
      </c>
      <c r="CX8" s="122" t="s">
        <v>9</v>
      </c>
      <c r="CY8" s="122" t="s">
        <v>10</v>
      </c>
      <c r="CZ8" s="122" t="s">
        <v>11</v>
      </c>
      <c r="DA8" s="122" t="s">
        <v>12</v>
      </c>
      <c r="DB8" s="122" t="s">
        <v>16</v>
      </c>
      <c r="DC8" s="122" t="s">
        <v>13</v>
      </c>
      <c r="DD8" s="122" t="s">
        <v>14</v>
      </c>
      <c r="DE8" s="122" t="s">
        <v>15</v>
      </c>
      <c r="DG8" s="166">
        <v>2009</v>
      </c>
      <c r="DH8" s="122" t="s">
        <v>1</v>
      </c>
      <c r="DI8" s="122" t="s">
        <v>2</v>
      </c>
      <c r="DJ8" s="122" t="s">
        <v>3</v>
      </c>
      <c r="DK8" s="122" t="s">
        <v>4</v>
      </c>
      <c r="DL8" s="122" t="s">
        <v>5</v>
      </c>
      <c r="DM8" s="122" t="s">
        <v>6</v>
      </c>
      <c r="DN8" s="122" t="s">
        <v>7</v>
      </c>
      <c r="DO8" s="122" t="s">
        <v>8</v>
      </c>
      <c r="DP8" s="122" t="s">
        <v>9</v>
      </c>
      <c r="DQ8" s="185" t="s">
        <v>10</v>
      </c>
      <c r="DR8" s="122" t="s">
        <v>11</v>
      </c>
      <c r="DS8" s="122" t="s">
        <v>12</v>
      </c>
      <c r="DT8" s="122" t="s">
        <v>16</v>
      </c>
      <c r="DU8" s="122" t="s">
        <v>13</v>
      </c>
      <c r="DV8" s="122" t="s">
        <v>14</v>
      </c>
      <c r="DW8" s="122" t="s">
        <v>15</v>
      </c>
      <c r="DY8" s="166">
        <v>2010</v>
      </c>
      <c r="DZ8" s="122" t="s">
        <v>1</v>
      </c>
      <c r="EA8" s="122" t="s">
        <v>2</v>
      </c>
      <c r="EB8" s="122" t="s">
        <v>3</v>
      </c>
      <c r="EC8" s="122" t="s">
        <v>4</v>
      </c>
      <c r="ED8" s="122" t="s">
        <v>5</v>
      </c>
      <c r="EE8" s="122" t="s">
        <v>6</v>
      </c>
      <c r="EF8" s="122" t="s">
        <v>7</v>
      </c>
      <c r="EG8" s="122" t="s">
        <v>8</v>
      </c>
      <c r="EH8" s="122" t="s">
        <v>9</v>
      </c>
      <c r="EI8" s="185" t="s">
        <v>10</v>
      </c>
      <c r="EJ8" s="122" t="s">
        <v>11</v>
      </c>
      <c r="EK8" s="122" t="s">
        <v>12</v>
      </c>
      <c r="EL8" s="122" t="s">
        <v>16</v>
      </c>
      <c r="EM8" s="122" t="s">
        <v>13</v>
      </c>
      <c r="EN8" s="122" t="s">
        <v>14</v>
      </c>
      <c r="EO8" s="122" t="s">
        <v>15</v>
      </c>
      <c r="EQ8" s="166">
        <v>2011</v>
      </c>
      <c r="ER8" s="122" t="s">
        <v>1</v>
      </c>
      <c r="ES8" s="122" t="s">
        <v>2</v>
      </c>
      <c r="ET8" s="122" t="s">
        <v>3</v>
      </c>
      <c r="EU8" s="122" t="s">
        <v>4</v>
      </c>
      <c r="EV8" s="122" t="s">
        <v>5</v>
      </c>
      <c r="EW8" s="122" t="s">
        <v>6</v>
      </c>
      <c r="EX8" s="122" t="s">
        <v>7</v>
      </c>
      <c r="EY8" s="122" t="s">
        <v>8</v>
      </c>
      <c r="EZ8" s="122" t="s">
        <v>9</v>
      </c>
      <c r="FA8" s="185" t="s">
        <v>10</v>
      </c>
      <c r="FB8" s="122" t="s">
        <v>11</v>
      </c>
      <c r="FC8" s="122" t="s">
        <v>12</v>
      </c>
      <c r="FD8" s="122" t="s">
        <v>16</v>
      </c>
      <c r="FE8" s="122" t="s">
        <v>13</v>
      </c>
      <c r="FF8" s="122" t="s">
        <v>14</v>
      </c>
      <c r="FG8" s="122" t="s">
        <v>15</v>
      </c>
      <c r="FI8" s="231">
        <v>2012</v>
      </c>
      <c r="FJ8" s="122" t="s">
        <v>1</v>
      </c>
      <c r="FK8" s="122" t="s">
        <v>2</v>
      </c>
      <c r="FL8" s="122" t="s">
        <v>3</v>
      </c>
      <c r="FM8" s="122" t="s">
        <v>4</v>
      </c>
      <c r="FN8" s="122" t="s">
        <v>5</v>
      </c>
      <c r="FO8" s="122" t="s">
        <v>6</v>
      </c>
      <c r="FP8" s="122" t="s">
        <v>7</v>
      </c>
      <c r="FQ8" s="122" t="s">
        <v>8</v>
      </c>
      <c r="FR8" s="122" t="s">
        <v>9</v>
      </c>
      <c r="FS8" s="185" t="s">
        <v>10</v>
      </c>
      <c r="FT8" s="122" t="s">
        <v>11</v>
      </c>
      <c r="FU8" s="122" t="s">
        <v>12</v>
      </c>
      <c r="FV8" s="122" t="s">
        <v>105</v>
      </c>
      <c r="FW8" s="122" t="s">
        <v>13</v>
      </c>
      <c r="FX8" s="122" t="s">
        <v>14</v>
      </c>
      <c r="FY8" s="122" t="s">
        <v>15</v>
      </c>
      <c r="FZ8" s="253">
        <v>2013</v>
      </c>
      <c r="GA8" s="122" t="s">
        <v>1</v>
      </c>
      <c r="GB8" s="122" t="s">
        <v>2</v>
      </c>
      <c r="GC8" s="122" t="s">
        <v>3</v>
      </c>
      <c r="GD8" s="122" t="s">
        <v>4</v>
      </c>
      <c r="GE8" s="122" t="s">
        <v>5</v>
      </c>
      <c r="GF8" s="122" t="s">
        <v>6</v>
      </c>
      <c r="GG8" s="122" t="s">
        <v>7</v>
      </c>
      <c r="GH8" s="122" t="s">
        <v>8</v>
      </c>
      <c r="GI8" s="122" t="s">
        <v>9</v>
      </c>
      <c r="GJ8" s="185" t="s">
        <v>10</v>
      </c>
      <c r="GK8" s="122" t="s">
        <v>11</v>
      </c>
      <c r="GL8" s="122" t="s">
        <v>12</v>
      </c>
      <c r="GM8" s="122" t="s">
        <v>105</v>
      </c>
      <c r="GN8" s="122" t="s">
        <v>13</v>
      </c>
      <c r="GO8" s="122" t="s">
        <v>14</v>
      </c>
      <c r="GP8" s="122" t="s">
        <v>15</v>
      </c>
    </row>
    <row r="9" spans="3:147" ht="12.75" customHeight="1">
      <c r="C9" s="232"/>
      <c r="AM9" s="167"/>
      <c r="BE9" s="177"/>
      <c r="CO9" s="207"/>
      <c r="DL9" s="158"/>
      <c r="DZ9" s="190"/>
      <c r="EA9" s="158"/>
      <c r="EQ9" s="243"/>
    </row>
    <row r="10" spans="1:199" s="13" customFormat="1" ht="12">
      <c r="A10" s="109" t="s">
        <v>35</v>
      </c>
      <c r="B10" s="109" t="s">
        <v>20</v>
      </c>
      <c r="C10" s="220">
        <f>D10+E10+F10+G10</f>
        <v>48940.1</v>
      </c>
      <c r="D10" s="123">
        <f>H10+I10+J10</f>
        <v>12118.9</v>
      </c>
      <c r="E10" s="123">
        <f>K10+L10+M10</f>
        <v>8164.2</v>
      </c>
      <c r="F10" s="123">
        <f>N10+O10+P10</f>
        <v>11889.5</v>
      </c>
      <c r="G10" s="123">
        <f>Q10+R10+S10</f>
        <v>16767.5</v>
      </c>
      <c r="H10" s="123">
        <v>4134.6</v>
      </c>
      <c r="I10" s="123">
        <v>3890.4</v>
      </c>
      <c r="J10" s="123">
        <v>4093.9</v>
      </c>
      <c r="K10" s="123">
        <v>2910.9</v>
      </c>
      <c r="L10" s="123">
        <v>2675.7</v>
      </c>
      <c r="M10" s="123">
        <v>2577.6</v>
      </c>
      <c r="N10" s="123">
        <v>3518.6</v>
      </c>
      <c r="O10" s="123">
        <v>3837.7</v>
      </c>
      <c r="P10" s="123">
        <v>4533.2</v>
      </c>
      <c r="Q10" s="123">
        <v>4750.5</v>
      </c>
      <c r="R10" s="123">
        <v>5515.1</v>
      </c>
      <c r="S10" s="123">
        <v>6501.9</v>
      </c>
      <c r="T10" s="123"/>
      <c r="U10" s="168">
        <f>V10+W10+X10+Y10</f>
        <v>55118.7</v>
      </c>
      <c r="V10" s="123">
        <f>Z10+AA10+AB10</f>
        <v>14292.5</v>
      </c>
      <c r="W10" s="123">
        <f>AC10+AD10+AE10</f>
        <v>13016.6</v>
      </c>
      <c r="X10" s="123">
        <f>AF10+AG10+AH10</f>
        <v>13103</v>
      </c>
      <c r="Y10" s="123">
        <f>AI10+AJ10+AK10</f>
        <v>14706.6</v>
      </c>
      <c r="Z10" s="123">
        <v>4609.7</v>
      </c>
      <c r="AA10" s="123">
        <v>4630.3</v>
      </c>
      <c r="AB10" s="123">
        <v>5052.5</v>
      </c>
      <c r="AC10" s="123">
        <v>4325.8</v>
      </c>
      <c r="AD10" s="123">
        <v>4481.6</v>
      </c>
      <c r="AE10" s="123">
        <v>4209.2</v>
      </c>
      <c r="AF10" s="123">
        <v>4088.5</v>
      </c>
      <c r="AG10" s="123">
        <v>4478</v>
      </c>
      <c r="AH10" s="123">
        <v>4536.5</v>
      </c>
      <c r="AI10" s="123">
        <v>4635.1</v>
      </c>
      <c r="AJ10" s="123">
        <v>4938.6</v>
      </c>
      <c r="AK10" s="123">
        <v>5132.9</v>
      </c>
      <c r="AL10" s="123"/>
      <c r="AM10" s="168">
        <f>AN10+AO10+AP10+AQ10</f>
        <v>51216.7</v>
      </c>
      <c r="AN10" s="123">
        <f>AR10+AS10+AT10</f>
        <v>13251.1</v>
      </c>
      <c r="AO10" s="123">
        <f>AU10+AV10+AW10</f>
        <v>12068.3</v>
      </c>
      <c r="AP10" s="123">
        <f>AX10+AY10+AZ10</f>
        <v>12523.8</v>
      </c>
      <c r="AQ10" s="123">
        <f>BA10+BB10+BC10</f>
        <v>13373.5</v>
      </c>
      <c r="AR10" s="123">
        <v>4709.1</v>
      </c>
      <c r="AS10" s="123">
        <v>4256</v>
      </c>
      <c r="AT10" s="123">
        <v>4286</v>
      </c>
      <c r="AU10" s="123">
        <v>4044.7</v>
      </c>
      <c r="AV10" s="123">
        <v>3974.8</v>
      </c>
      <c r="AW10" s="123">
        <v>4048.8</v>
      </c>
      <c r="AX10" s="123">
        <v>4170.1</v>
      </c>
      <c r="AY10" s="123">
        <v>4369.2</v>
      </c>
      <c r="AZ10" s="123">
        <v>3984.5</v>
      </c>
      <c r="BA10" s="123">
        <v>4133.2</v>
      </c>
      <c r="BB10" s="123">
        <v>4424.4</v>
      </c>
      <c r="BC10" s="123">
        <v>4815.9</v>
      </c>
      <c r="BD10" s="123"/>
      <c r="BE10" s="220">
        <f>BJ10+BK10+BL10+BM10+BN10+BO10+BP10+BQ10+BR10+BS10+BT10+BU10</f>
        <v>54423.9</v>
      </c>
      <c r="BF10" s="123">
        <f>BJ10+BK10+BL10</f>
        <v>14414.9</v>
      </c>
      <c r="BG10" s="123">
        <f>BM10+BN10+BO10</f>
        <v>13918.4</v>
      </c>
      <c r="BH10" s="123">
        <f>BP10+BQ10+BR10</f>
        <v>12353.7</v>
      </c>
      <c r="BI10" s="123">
        <f>BS10+BT10+BU10</f>
        <v>13736.9</v>
      </c>
      <c r="BJ10" s="125">
        <v>4944.3</v>
      </c>
      <c r="BK10" s="125">
        <v>4547.4</v>
      </c>
      <c r="BL10" s="125">
        <v>4923.2</v>
      </c>
      <c r="BM10" s="125">
        <v>4163.5</v>
      </c>
      <c r="BN10" s="125">
        <v>4763.8</v>
      </c>
      <c r="BO10" s="125">
        <v>4991.1</v>
      </c>
      <c r="BP10" s="125">
        <v>4301.8</v>
      </c>
      <c r="BQ10" s="125">
        <v>4295.4</v>
      </c>
      <c r="BR10" s="125">
        <v>3756.5</v>
      </c>
      <c r="BS10" s="125">
        <v>3947.6</v>
      </c>
      <c r="BT10" s="125">
        <v>4670.9</v>
      </c>
      <c r="BU10" s="125">
        <v>5118.4</v>
      </c>
      <c r="BW10" s="168">
        <v>59823.3</v>
      </c>
      <c r="BX10" s="123">
        <f>CB10+CC10+CD10</f>
        <v>13541.1</v>
      </c>
      <c r="BY10" s="123">
        <f>CE10+CF10+CG10</f>
        <v>13836.2</v>
      </c>
      <c r="BZ10" s="123">
        <f>CH10+CI10+CJ10</f>
        <v>14861.9</v>
      </c>
      <c r="CA10" s="123">
        <f>CK10+CL10+CM10</f>
        <v>17584.1</v>
      </c>
      <c r="CB10" s="123">
        <v>4449.8</v>
      </c>
      <c r="CC10" s="123">
        <v>4412.7</v>
      </c>
      <c r="CD10" s="123">
        <v>4678.6</v>
      </c>
      <c r="CE10" s="123">
        <v>4458.6</v>
      </c>
      <c r="CF10" s="123">
        <v>4470.9</v>
      </c>
      <c r="CG10" s="123">
        <v>4906.7</v>
      </c>
      <c r="CH10" s="123">
        <v>5263.5</v>
      </c>
      <c r="CI10" s="123">
        <v>4886.8</v>
      </c>
      <c r="CJ10" s="123">
        <v>4711.6</v>
      </c>
      <c r="CK10" s="123">
        <v>4251.2</v>
      </c>
      <c r="CL10" s="123">
        <v>6189.2</v>
      </c>
      <c r="CM10" s="123">
        <v>7143.7</v>
      </c>
      <c r="CN10" s="123"/>
      <c r="CO10" s="168">
        <v>89235.7</v>
      </c>
      <c r="CP10" s="123">
        <f>CT10+CU10+CV10</f>
        <v>18284.4</v>
      </c>
      <c r="CQ10" s="123">
        <f>CW10+CX10+CY10</f>
        <v>19704.6</v>
      </c>
      <c r="CR10" s="123">
        <f>CZ10+DA10+DB10</f>
        <v>22001.1</v>
      </c>
      <c r="CS10" s="123">
        <f>DC10+DD10+DE10</f>
        <v>29245.6</v>
      </c>
      <c r="CT10" s="123">
        <v>5379.9</v>
      </c>
      <c r="CU10" s="123">
        <v>6719.3</v>
      </c>
      <c r="CV10" s="123">
        <v>6185.2</v>
      </c>
      <c r="CW10" s="123">
        <v>6049.8</v>
      </c>
      <c r="CX10" s="123">
        <v>6069.8</v>
      </c>
      <c r="CY10" s="123">
        <v>7585</v>
      </c>
      <c r="CZ10" s="123">
        <v>7308.1</v>
      </c>
      <c r="DA10" s="123">
        <v>6941.2</v>
      </c>
      <c r="DB10" s="123">
        <v>7751.8</v>
      </c>
      <c r="DC10" s="123">
        <v>9191.4</v>
      </c>
      <c r="DD10" s="123">
        <v>9339.4</v>
      </c>
      <c r="DE10" s="123">
        <v>10714.8</v>
      </c>
      <c r="DF10" s="123"/>
      <c r="DG10" s="236">
        <v>99031.5</v>
      </c>
      <c r="DH10" s="123">
        <f>DL10+DM10+DN10</f>
        <v>16339.6</v>
      </c>
      <c r="DI10" s="123">
        <f>DO10+DP10+DQ10</f>
        <v>18956.1</v>
      </c>
      <c r="DJ10" s="123">
        <f>DR10+DS10+DT10</f>
        <v>25469.4</v>
      </c>
      <c r="DK10" s="123">
        <f>DU10+DV10+DW10</f>
        <v>38266.4</v>
      </c>
      <c r="DL10" s="123">
        <v>5291.5</v>
      </c>
      <c r="DM10" s="123">
        <v>4016.3</v>
      </c>
      <c r="DN10" s="123">
        <v>7031.8</v>
      </c>
      <c r="DO10" s="123">
        <v>6829.3</v>
      </c>
      <c r="DP10" s="123">
        <v>5942.7</v>
      </c>
      <c r="DQ10" s="129">
        <v>6184.1</v>
      </c>
      <c r="DR10" s="123">
        <v>8068.9</v>
      </c>
      <c r="DS10" s="123">
        <v>9055.2</v>
      </c>
      <c r="DT10" s="123">
        <v>8345.3</v>
      </c>
      <c r="DU10" s="123">
        <v>7162.3</v>
      </c>
      <c r="DV10" s="123">
        <v>12420.2</v>
      </c>
      <c r="DW10" s="123">
        <v>18683.9</v>
      </c>
      <c r="DX10" s="123"/>
      <c r="DY10" s="168">
        <v>126588.1</v>
      </c>
      <c r="DZ10" s="123">
        <f>ED10+EE10+EF10</f>
        <v>35492.8</v>
      </c>
      <c r="EA10" s="123">
        <f>EG10+EH10+EI10</f>
        <v>24004</v>
      </c>
      <c r="EB10" s="123">
        <f>EJ10+EK10+EL10</f>
        <v>23410.5</v>
      </c>
      <c r="EC10" s="123">
        <f>EM10+EN10+EO10</f>
        <v>43680.8</v>
      </c>
      <c r="ED10" s="123">
        <v>13249.2</v>
      </c>
      <c r="EE10" s="123">
        <v>9746.7</v>
      </c>
      <c r="EF10" s="123">
        <v>12496.9</v>
      </c>
      <c r="EG10" s="123">
        <v>7159.3</v>
      </c>
      <c r="EH10" s="123">
        <v>9054.1</v>
      </c>
      <c r="EI10" s="123">
        <v>7790.6</v>
      </c>
      <c r="EJ10" s="123">
        <v>7103.2</v>
      </c>
      <c r="EK10" s="123">
        <v>8106</v>
      </c>
      <c r="EL10" s="123">
        <v>8201.3</v>
      </c>
      <c r="EM10" s="123">
        <v>7816.7</v>
      </c>
      <c r="EN10" s="123">
        <v>11796.7</v>
      </c>
      <c r="EO10" s="123">
        <v>24067.4</v>
      </c>
      <c r="EP10" s="123"/>
      <c r="EQ10" s="244">
        <v>164623.9</v>
      </c>
      <c r="ER10" s="123">
        <v>41492</v>
      </c>
      <c r="ES10" s="123">
        <v>38198.8</v>
      </c>
      <c r="ET10" s="123">
        <v>41697.7</v>
      </c>
      <c r="EU10" s="123">
        <v>43235.4</v>
      </c>
      <c r="EV10" s="123">
        <v>15945.8</v>
      </c>
      <c r="EW10" s="123">
        <v>14841.7</v>
      </c>
      <c r="EX10" s="123">
        <v>10704.5</v>
      </c>
      <c r="EY10" s="123">
        <v>12770.9</v>
      </c>
      <c r="EZ10" s="190">
        <v>12576.3</v>
      </c>
      <c r="FA10" s="190">
        <v>12851.6</v>
      </c>
      <c r="FB10" s="190">
        <v>12548.8</v>
      </c>
      <c r="FC10" s="190">
        <v>14640.7</v>
      </c>
      <c r="FD10" s="190">
        <v>14508.2</v>
      </c>
      <c r="FE10" s="190">
        <v>13884.5</v>
      </c>
      <c r="FF10" s="190">
        <v>14690.8</v>
      </c>
      <c r="FG10" s="190">
        <v>14660.1</v>
      </c>
      <c r="FH10" s="190"/>
      <c r="FI10" s="270">
        <v>136967.6</v>
      </c>
      <c r="FJ10" s="190">
        <v>29095.3</v>
      </c>
      <c r="FK10" s="13">
        <v>26115.8</v>
      </c>
      <c r="FL10" s="13">
        <v>28957.5</v>
      </c>
      <c r="FM10" s="13">
        <v>52799</v>
      </c>
      <c r="FN10" s="13">
        <v>9994.1</v>
      </c>
      <c r="FO10" s="13">
        <v>9958.6</v>
      </c>
      <c r="FP10" s="13">
        <v>9142.6</v>
      </c>
      <c r="FQ10" s="13">
        <v>8684.9</v>
      </c>
      <c r="FR10" s="13">
        <v>8326.4</v>
      </c>
      <c r="FS10" s="13">
        <v>9104.5</v>
      </c>
      <c r="FT10" s="13">
        <v>9677.6</v>
      </c>
      <c r="FU10" s="13">
        <v>9527.4</v>
      </c>
      <c r="FV10" s="13">
        <v>9752.5</v>
      </c>
      <c r="FW10" s="13">
        <v>12534.6</v>
      </c>
      <c r="FX10" s="13">
        <v>19637.9</v>
      </c>
      <c r="FY10" s="13">
        <v>20626.5</v>
      </c>
      <c r="FZ10" s="193">
        <v>169520</v>
      </c>
      <c r="GA10" s="193">
        <f>GE10+GF10+GG10</f>
        <v>35182.1</v>
      </c>
      <c r="GB10" s="193">
        <f>GH10+GI10+GJ10</f>
        <v>29948.5</v>
      </c>
      <c r="GC10" s="193">
        <f>GK10+GL10+GM10</f>
        <v>35818.4</v>
      </c>
      <c r="GD10" s="193">
        <f>GN10+GO10+GP10</f>
        <v>68571</v>
      </c>
      <c r="GE10" s="193">
        <v>11078</v>
      </c>
      <c r="GF10" s="193">
        <v>11750.7</v>
      </c>
      <c r="GG10" s="193">
        <v>12353.4</v>
      </c>
      <c r="GH10" s="193">
        <v>9823</v>
      </c>
      <c r="GI10" s="193">
        <v>10926.6</v>
      </c>
      <c r="GJ10" s="193">
        <v>9198.9</v>
      </c>
      <c r="GK10" s="193">
        <v>9733</v>
      </c>
      <c r="GL10" s="193">
        <v>10363.9</v>
      </c>
      <c r="GM10" s="193">
        <v>15721.5</v>
      </c>
      <c r="GN10" s="193">
        <v>18945</v>
      </c>
      <c r="GO10" s="193">
        <v>24151.1</v>
      </c>
      <c r="GP10" s="193">
        <v>25474.9</v>
      </c>
      <c r="GQ10" s="193"/>
    </row>
    <row r="11" spans="1:199" s="13" customFormat="1" ht="12">
      <c r="A11" s="109"/>
      <c r="B11" s="109"/>
      <c r="C11" s="220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68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68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220"/>
      <c r="BF11" s="123"/>
      <c r="BG11" s="123"/>
      <c r="BH11" s="123"/>
      <c r="BI11" s="123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W11" s="168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68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236"/>
      <c r="DH11" s="123"/>
      <c r="DI11" s="123"/>
      <c r="DJ11" s="123"/>
      <c r="DK11" s="123"/>
      <c r="DL11" s="123"/>
      <c r="DM11" s="123"/>
      <c r="DN11" s="123"/>
      <c r="DO11" s="123"/>
      <c r="DP11" s="123"/>
      <c r="DQ11" s="129"/>
      <c r="DR11" s="123"/>
      <c r="DS11" s="123"/>
      <c r="DT11" s="123"/>
      <c r="DU11" s="123"/>
      <c r="DV11" s="123"/>
      <c r="DW11" s="123"/>
      <c r="DX11" s="123"/>
      <c r="DY11" s="168"/>
      <c r="DZ11" s="123"/>
      <c r="EA11" s="123"/>
      <c r="EB11" s="123"/>
      <c r="EC11" s="123"/>
      <c r="ED11" s="123"/>
      <c r="EE11" s="123"/>
      <c r="EF11" s="123"/>
      <c r="EG11" s="123"/>
      <c r="EH11" s="123"/>
      <c r="EI11" s="123"/>
      <c r="EJ11" s="123"/>
      <c r="EK11" s="123"/>
      <c r="EL11" s="123"/>
      <c r="EM11" s="123"/>
      <c r="EN11" s="123"/>
      <c r="EO11" s="123"/>
      <c r="EP11" s="123"/>
      <c r="EQ11" s="244"/>
      <c r="ER11" s="123"/>
      <c r="ES11" s="123"/>
      <c r="ET11" s="123"/>
      <c r="EU11" s="123"/>
      <c r="EV11" s="123"/>
      <c r="EW11" s="123"/>
      <c r="EX11" s="123"/>
      <c r="EY11" s="123"/>
      <c r="EZ11" s="190"/>
      <c r="FA11" s="190"/>
      <c r="FB11" s="190"/>
      <c r="FC11" s="190"/>
      <c r="FD11" s="190"/>
      <c r="FE11" s="190"/>
      <c r="FF11" s="190"/>
      <c r="FG11" s="190"/>
      <c r="FH11" s="190"/>
      <c r="FI11" s="270"/>
      <c r="FJ11" s="190"/>
      <c r="GA11" s="193"/>
      <c r="GB11" s="193"/>
      <c r="GC11" s="193"/>
      <c r="GD11" s="193"/>
      <c r="GQ11" s="193"/>
    </row>
    <row r="12" spans="1:199" s="13" customFormat="1" ht="12">
      <c r="A12" s="109" t="s">
        <v>36</v>
      </c>
      <c r="B12" s="109" t="s">
        <v>17</v>
      </c>
      <c r="C12" s="220">
        <f aca="true" t="shared" si="0" ref="C12:C32">D12+E12+F12+G12</f>
        <v>727.6</v>
      </c>
      <c r="D12" s="123">
        <f>H12+I12+J12</f>
        <v>145.7</v>
      </c>
      <c r="E12" s="123">
        <f aca="true" t="shared" si="1" ref="E12:E32">K12+L12+M12</f>
        <v>178.5</v>
      </c>
      <c r="F12" s="123">
        <f aca="true" t="shared" si="2" ref="F12:F32">N12+O12+P12</f>
        <v>173.1</v>
      </c>
      <c r="G12" s="123">
        <f aca="true" t="shared" si="3" ref="G12:G32">Q12+R12+S12</f>
        <v>230.3</v>
      </c>
      <c r="H12" s="123">
        <v>50.4</v>
      </c>
      <c r="I12" s="123">
        <v>49.8</v>
      </c>
      <c r="J12" s="123">
        <v>45.5</v>
      </c>
      <c r="K12" s="123">
        <v>47.3</v>
      </c>
      <c r="L12" s="123">
        <v>46.4</v>
      </c>
      <c r="M12" s="123">
        <v>84.8</v>
      </c>
      <c r="N12" s="123">
        <v>52.7</v>
      </c>
      <c r="O12" s="123">
        <v>59.3</v>
      </c>
      <c r="P12" s="123">
        <v>61.1</v>
      </c>
      <c r="Q12" s="123">
        <v>97</v>
      </c>
      <c r="R12" s="123">
        <v>41.6</v>
      </c>
      <c r="S12" s="123">
        <v>91.7</v>
      </c>
      <c r="T12" s="123"/>
      <c r="U12" s="168">
        <f>V12+W12+X12+Y12</f>
        <v>1114.8</v>
      </c>
      <c r="V12" s="123">
        <f aca="true" t="shared" si="4" ref="V12:V32">Z12+AA12+AB12</f>
        <v>154.4</v>
      </c>
      <c r="W12" s="123">
        <f aca="true" t="shared" si="5" ref="W12:W32">AC12+AD12+AE12</f>
        <v>384.7</v>
      </c>
      <c r="X12" s="123">
        <f aca="true" t="shared" si="6" ref="X12:X32">AF12+AG12+AH12</f>
        <v>255.5</v>
      </c>
      <c r="Y12" s="123">
        <f aca="true" t="shared" si="7" ref="Y12:Y32">AI12+AJ12+AK12</f>
        <v>320.2</v>
      </c>
      <c r="Z12" s="263">
        <v>45.8</v>
      </c>
      <c r="AA12" s="263">
        <v>42.7</v>
      </c>
      <c r="AB12" s="263">
        <v>65.9</v>
      </c>
      <c r="AC12" s="263">
        <v>82.2</v>
      </c>
      <c r="AD12" s="263">
        <v>217.4</v>
      </c>
      <c r="AE12" s="263">
        <v>85.1</v>
      </c>
      <c r="AF12" s="263">
        <v>64.9</v>
      </c>
      <c r="AG12" s="263">
        <v>69.5</v>
      </c>
      <c r="AH12" s="263">
        <v>121.1</v>
      </c>
      <c r="AI12" s="263">
        <v>77.2</v>
      </c>
      <c r="AJ12" s="263">
        <v>86.5</v>
      </c>
      <c r="AK12" s="263">
        <v>156.5</v>
      </c>
      <c r="AL12" s="123"/>
      <c r="AM12" s="168">
        <f aca="true" t="shared" si="8" ref="AM12:AM32">AN12+AO12+AP12+AQ12</f>
        <v>959.2</v>
      </c>
      <c r="AN12" s="123">
        <f>AR12+AS12+AT12</f>
        <v>213.9</v>
      </c>
      <c r="AO12" s="123">
        <f>AU12+AV12+AW12</f>
        <v>217</v>
      </c>
      <c r="AP12" s="123">
        <f>AX12+AY12+AZ12</f>
        <v>261.9</v>
      </c>
      <c r="AQ12" s="123">
        <f>BA12+BB12+BC12</f>
        <v>266.4</v>
      </c>
      <c r="AR12" s="129">
        <v>72.5</v>
      </c>
      <c r="AS12" s="129">
        <v>67.2</v>
      </c>
      <c r="AT12" s="129">
        <v>74.2</v>
      </c>
      <c r="AU12" s="123">
        <v>71</v>
      </c>
      <c r="AV12" s="123">
        <v>73.7</v>
      </c>
      <c r="AW12" s="123">
        <v>72.3</v>
      </c>
      <c r="AX12" s="123">
        <v>98</v>
      </c>
      <c r="AY12" s="129">
        <v>73</v>
      </c>
      <c r="AZ12" s="129">
        <v>90.9</v>
      </c>
      <c r="BA12" s="123">
        <v>90.8</v>
      </c>
      <c r="BB12" s="129">
        <v>85.3</v>
      </c>
      <c r="BC12" s="129">
        <v>90.3</v>
      </c>
      <c r="BD12" s="129"/>
      <c r="BE12" s="220">
        <f>SUM(BJ12:BU12)</f>
        <v>1136.1</v>
      </c>
      <c r="BF12" s="123">
        <f>BJ12+BK12+BL12</f>
        <v>204.5</v>
      </c>
      <c r="BG12" s="123">
        <f>BM12+BN12+BO12</f>
        <v>253</v>
      </c>
      <c r="BH12" s="123">
        <f>BP12+BQ12+BR12</f>
        <v>312</v>
      </c>
      <c r="BI12" s="123">
        <f>BS12+BT12+BU12</f>
        <v>366.6</v>
      </c>
      <c r="BJ12" s="125">
        <f>BJ13+BJ14</f>
        <v>60.4</v>
      </c>
      <c r="BK12" s="125">
        <f aca="true" t="shared" si="9" ref="BK12:BU12">BK13+BK14</f>
        <v>62.8</v>
      </c>
      <c r="BL12" s="125">
        <f t="shared" si="9"/>
        <v>81.3</v>
      </c>
      <c r="BM12" s="125">
        <f t="shared" si="9"/>
        <v>81.8</v>
      </c>
      <c r="BN12" s="125">
        <f t="shared" si="9"/>
        <v>80.4</v>
      </c>
      <c r="BO12" s="125">
        <f t="shared" si="9"/>
        <v>90.8</v>
      </c>
      <c r="BP12" s="125">
        <f t="shared" si="9"/>
        <v>85.1</v>
      </c>
      <c r="BQ12" s="125">
        <f t="shared" si="9"/>
        <v>127.1</v>
      </c>
      <c r="BR12" s="125">
        <f t="shared" si="9"/>
        <v>99.8</v>
      </c>
      <c r="BS12" s="125">
        <f t="shared" si="9"/>
        <v>99.3</v>
      </c>
      <c r="BT12" s="125">
        <f t="shared" si="9"/>
        <v>113.2</v>
      </c>
      <c r="BU12" s="125">
        <f t="shared" si="9"/>
        <v>154.1</v>
      </c>
      <c r="BW12" s="168">
        <v>1291.8</v>
      </c>
      <c r="BX12" s="123">
        <f>CB12+CC12+CD12</f>
        <v>227.9</v>
      </c>
      <c r="BY12" s="123">
        <f>CE12+CF12+CG12</f>
        <v>279.9</v>
      </c>
      <c r="BZ12" s="123">
        <f>CH12+CI12+CJ12</f>
        <v>512.6</v>
      </c>
      <c r="CA12" s="123">
        <f>CK12+CL12+CM12</f>
        <v>271.4</v>
      </c>
      <c r="CB12" s="125">
        <v>85.7</v>
      </c>
      <c r="CC12" s="125">
        <v>76.1</v>
      </c>
      <c r="CD12" s="125">
        <v>66.1</v>
      </c>
      <c r="CE12" s="125">
        <v>91.7</v>
      </c>
      <c r="CF12" s="125">
        <v>94.1</v>
      </c>
      <c r="CG12" s="125">
        <v>94.1</v>
      </c>
      <c r="CH12" s="125">
        <v>110.7</v>
      </c>
      <c r="CI12" s="125">
        <v>145.1</v>
      </c>
      <c r="CJ12" s="125">
        <v>256.8</v>
      </c>
      <c r="CK12" s="125">
        <v>23.2</v>
      </c>
      <c r="CL12" s="125">
        <v>120.9</v>
      </c>
      <c r="CM12" s="125">
        <v>127.3</v>
      </c>
      <c r="CN12" s="125"/>
      <c r="CO12" s="168">
        <v>1884.3</v>
      </c>
      <c r="CP12" s="123">
        <f aca="true" t="shared" si="10" ref="CP12:CP32">CT12+CU12+CV12</f>
        <v>276.8</v>
      </c>
      <c r="CQ12" s="123">
        <f>CW12+CX12+CY12</f>
        <v>396.3</v>
      </c>
      <c r="CR12" s="123">
        <f>CZ12+DA12+DB12</f>
        <v>603.2</v>
      </c>
      <c r="CS12" s="123">
        <f aca="true" t="shared" si="11" ref="CS12:CS32">DC12+DD12+DE12</f>
        <v>608</v>
      </c>
      <c r="CT12" s="123">
        <v>71.5</v>
      </c>
      <c r="CU12" s="123">
        <v>82.9</v>
      </c>
      <c r="CV12" s="123">
        <v>122.4</v>
      </c>
      <c r="CW12" s="123">
        <v>118.2</v>
      </c>
      <c r="CX12" s="123">
        <v>134.8</v>
      </c>
      <c r="CY12" s="123">
        <v>143.3</v>
      </c>
      <c r="CZ12" s="123">
        <v>185.4</v>
      </c>
      <c r="DA12" s="123">
        <v>207</v>
      </c>
      <c r="DB12" s="123">
        <v>210.8</v>
      </c>
      <c r="DC12" s="123">
        <v>197.2</v>
      </c>
      <c r="DD12" s="123">
        <v>213.4</v>
      </c>
      <c r="DE12" s="123">
        <v>197.4</v>
      </c>
      <c r="DF12" s="123"/>
      <c r="DG12" s="236">
        <v>1939.7</v>
      </c>
      <c r="DH12" s="123">
        <f aca="true" t="shared" si="12" ref="DH12:DH32">DL12+DM12+DN12</f>
        <v>272.9</v>
      </c>
      <c r="DI12" s="123">
        <f aca="true" t="shared" si="13" ref="DI12:DI32">DO12+DP12+DQ12</f>
        <v>452.9</v>
      </c>
      <c r="DJ12" s="123">
        <f>DR12+DS12+DT12</f>
        <v>605.7</v>
      </c>
      <c r="DK12" s="123">
        <f aca="true" t="shared" si="14" ref="DK12:DK32">DU12+DV12+DW12</f>
        <v>608.2</v>
      </c>
      <c r="DL12" s="123">
        <v>73.5</v>
      </c>
      <c r="DM12" s="123">
        <v>85.3</v>
      </c>
      <c r="DN12" s="123">
        <v>114.1</v>
      </c>
      <c r="DO12" s="123">
        <v>124.2</v>
      </c>
      <c r="DP12" s="123">
        <v>128.1</v>
      </c>
      <c r="DQ12" s="129">
        <v>200.6</v>
      </c>
      <c r="DR12" s="123">
        <v>184.9</v>
      </c>
      <c r="DS12" s="123">
        <v>185</v>
      </c>
      <c r="DT12" s="123">
        <v>235.8</v>
      </c>
      <c r="DU12" s="190">
        <v>193.8</v>
      </c>
      <c r="DV12" s="190">
        <v>198.6</v>
      </c>
      <c r="DW12" s="123">
        <v>215.8</v>
      </c>
      <c r="DX12" s="123"/>
      <c r="DY12" s="168">
        <v>2399.7</v>
      </c>
      <c r="DZ12" s="123">
        <f aca="true" t="shared" si="15" ref="DZ12:DZ32">ED12+EE12+EF12</f>
        <v>322.2</v>
      </c>
      <c r="EA12" s="123">
        <f>EG12+EH12+EI12</f>
        <v>430.6</v>
      </c>
      <c r="EB12" s="123">
        <f aca="true" t="shared" si="16" ref="EB12:EB32">EJ12+EK12+EL12</f>
        <v>736.9</v>
      </c>
      <c r="EC12" s="123">
        <f aca="true" t="shared" si="17" ref="EC12:EC32">EM12+EN12+EO12</f>
        <v>910</v>
      </c>
      <c r="ED12" s="13">
        <v>104.3</v>
      </c>
      <c r="EE12" s="193">
        <v>92.2</v>
      </c>
      <c r="EF12" s="13">
        <v>125.7</v>
      </c>
      <c r="EG12" s="13">
        <v>142.4</v>
      </c>
      <c r="EH12" s="13">
        <v>133</v>
      </c>
      <c r="EI12" s="193">
        <v>155.2</v>
      </c>
      <c r="EJ12" s="234">
        <v>201</v>
      </c>
      <c r="EK12" s="13">
        <v>238.5</v>
      </c>
      <c r="EL12" s="13">
        <v>297.4</v>
      </c>
      <c r="EM12" s="123">
        <v>304.2</v>
      </c>
      <c r="EN12" s="13">
        <v>275.4</v>
      </c>
      <c r="EO12" s="123">
        <v>330.4</v>
      </c>
      <c r="EP12" s="123"/>
      <c r="EQ12" s="244">
        <v>3683</v>
      </c>
      <c r="ER12" s="123">
        <v>548.7</v>
      </c>
      <c r="ES12" s="123">
        <v>822.5</v>
      </c>
      <c r="ET12" s="123">
        <v>1138</v>
      </c>
      <c r="EU12" s="123">
        <v>1173.8</v>
      </c>
      <c r="EV12" s="123">
        <v>185.1</v>
      </c>
      <c r="EW12" s="13">
        <v>142.7</v>
      </c>
      <c r="EX12" s="13">
        <v>220.9</v>
      </c>
      <c r="EY12" s="123">
        <v>220.3</v>
      </c>
      <c r="EZ12" s="190">
        <v>246.6</v>
      </c>
      <c r="FA12" s="190">
        <v>355.6</v>
      </c>
      <c r="FB12" s="190">
        <v>374.7</v>
      </c>
      <c r="FC12" s="190">
        <v>341.1</v>
      </c>
      <c r="FD12" s="190">
        <v>422.2</v>
      </c>
      <c r="FE12" s="190">
        <v>394</v>
      </c>
      <c r="FF12" s="190">
        <v>346.3</v>
      </c>
      <c r="FG12" s="190">
        <v>433.5</v>
      </c>
      <c r="FH12" s="190"/>
      <c r="FI12" s="270">
        <v>6062.4</v>
      </c>
      <c r="FJ12" s="190">
        <v>544.9</v>
      </c>
      <c r="FK12" s="13">
        <v>1135.2</v>
      </c>
      <c r="FL12" s="13">
        <v>2074.7</v>
      </c>
      <c r="FM12" s="13">
        <v>2307.6</v>
      </c>
      <c r="FN12" s="13">
        <v>189.2</v>
      </c>
      <c r="FO12" s="13">
        <v>166.9</v>
      </c>
      <c r="FP12" s="13">
        <v>188.8</v>
      </c>
      <c r="FQ12" s="13">
        <v>258.1</v>
      </c>
      <c r="FR12" s="13">
        <v>405.2</v>
      </c>
      <c r="FS12" s="13">
        <v>471.9</v>
      </c>
      <c r="FT12" s="13">
        <v>1040.5</v>
      </c>
      <c r="FU12" s="13">
        <v>479.7</v>
      </c>
      <c r="FV12" s="13">
        <v>554.5</v>
      </c>
      <c r="FW12" s="13">
        <v>1142.7</v>
      </c>
      <c r="FX12" s="13">
        <v>530.9</v>
      </c>
      <c r="FY12" s="13">
        <v>634</v>
      </c>
      <c r="FZ12" s="13">
        <v>5067.6</v>
      </c>
      <c r="GA12" s="193">
        <f aca="true" t="shared" si="18" ref="GA12:GA32">GE12+GF12+GG12</f>
        <v>752.3</v>
      </c>
      <c r="GB12" s="193">
        <f aca="true" t="shared" si="19" ref="GB12:GB32">GH12+GI12+GJ12</f>
        <v>1197.7</v>
      </c>
      <c r="GC12" s="193">
        <f aca="true" t="shared" si="20" ref="GC12:GC32">GK12+GL12+GM12</f>
        <v>1528.3</v>
      </c>
      <c r="GD12" s="193">
        <f aca="true" t="shared" si="21" ref="GD12:GD32">GN12+GO12+GP12</f>
        <v>1589.3</v>
      </c>
      <c r="GE12" s="193">
        <v>226.2</v>
      </c>
      <c r="GF12" s="193">
        <v>251.9</v>
      </c>
      <c r="GG12" s="193">
        <v>274.2</v>
      </c>
      <c r="GH12" s="193">
        <v>223</v>
      </c>
      <c r="GI12" s="193">
        <v>256.7</v>
      </c>
      <c r="GJ12" s="193">
        <v>718</v>
      </c>
      <c r="GK12" s="193">
        <v>334.5</v>
      </c>
      <c r="GL12" s="193">
        <v>536.9</v>
      </c>
      <c r="GM12" s="193">
        <v>656.9</v>
      </c>
      <c r="GN12" s="193">
        <v>558.4</v>
      </c>
      <c r="GO12" s="193">
        <v>563.1</v>
      </c>
      <c r="GP12" s="193">
        <v>467.8</v>
      </c>
      <c r="GQ12" s="193"/>
    </row>
    <row r="13" spans="1:199" ht="12">
      <c r="A13" s="25" t="s">
        <v>42</v>
      </c>
      <c r="B13" s="154" t="s">
        <v>62</v>
      </c>
      <c r="C13" s="181">
        <f t="shared" si="0"/>
        <v>584.3</v>
      </c>
      <c r="D13" s="127">
        <f>H13+I13+J13</f>
        <v>138.7</v>
      </c>
      <c r="E13" s="127">
        <f t="shared" si="1"/>
        <v>149.3</v>
      </c>
      <c r="F13" s="127">
        <f t="shared" si="2"/>
        <v>128.6</v>
      </c>
      <c r="G13" s="127">
        <f t="shared" si="3"/>
        <v>167.7</v>
      </c>
      <c r="H13" s="127">
        <v>47.9</v>
      </c>
      <c r="I13" s="127">
        <v>46.6</v>
      </c>
      <c r="J13" s="127">
        <v>44.2</v>
      </c>
      <c r="K13" s="127">
        <v>45.4</v>
      </c>
      <c r="L13" s="127">
        <v>43.3</v>
      </c>
      <c r="M13" s="127">
        <v>60.6</v>
      </c>
      <c r="N13" s="127">
        <v>42.5</v>
      </c>
      <c r="O13" s="127">
        <v>42.1</v>
      </c>
      <c r="P13" s="127">
        <v>44</v>
      </c>
      <c r="Q13" s="127">
        <v>57.1</v>
      </c>
      <c r="R13" s="127">
        <v>36.6</v>
      </c>
      <c r="S13" s="127">
        <v>74</v>
      </c>
      <c r="T13" s="127"/>
      <c r="U13" s="169">
        <f>V13+W13+X13+Y13</f>
        <v>805.3</v>
      </c>
      <c r="V13" s="134">
        <f t="shared" si="4"/>
        <v>134.8</v>
      </c>
      <c r="W13" s="134">
        <f t="shared" si="5"/>
        <v>273.9</v>
      </c>
      <c r="X13" s="134">
        <f t="shared" si="6"/>
        <v>170.3</v>
      </c>
      <c r="Y13" s="134">
        <f t="shared" si="7"/>
        <v>226.3</v>
      </c>
      <c r="Z13" s="127">
        <v>44.6</v>
      </c>
      <c r="AA13" s="127">
        <v>41.2</v>
      </c>
      <c r="AB13" s="127">
        <v>49</v>
      </c>
      <c r="AC13" s="127">
        <v>45.3</v>
      </c>
      <c r="AD13" s="127">
        <v>178.3</v>
      </c>
      <c r="AE13" s="127">
        <v>50.3</v>
      </c>
      <c r="AF13" s="127">
        <v>49.8</v>
      </c>
      <c r="AG13" s="127">
        <v>55.3</v>
      </c>
      <c r="AH13" s="127">
        <v>65.2</v>
      </c>
      <c r="AI13" s="127">
        <v>65.7</v>
      </c>
      <c r="AJ13" s="127">
        <v>72.1</v>
      </c>
      <c r="AK13" s="127">
        <v>88.5</v>
      </c>
      <c r="AL13" s="127"/>
      <c r="AM13" s="169">
        <f t="shared" si="8"/>
        <v>768</v>
      </c>
      <c r="AN13" s="127">
        <f>AR13+AS13+AT13</f>
        <v>177.4</v>
      </c>
      <c r="AO13" s="127">
        <f aca="true" t="shared" si="22" ref="AO13:AO32">AU13+AV13+AW13</f>
        <v>167.3</v>
      </c>
      <c r="AP13" s="127">
        <f aca="true" t="shared" si="23" ref="AP13:AP32">AX13+AY13+AZ13</f>
        <v>202.2</v>
      </c>
      <c r="AQ13" s="127">
        <f aca="true" t="shared" si="24" ref="AQ13:AQ32">BA13+BB13+BC13</f>
        <v>221.1</v>
      </c>
      <c r="AR13" s="127">
        <v>62.8</v>
      </c>
      <c r="AS13" s="127">
        <v>55.7</v>
      </c>
      <c r="AT13" s="127">
        <v>58.9</v>
      </c>
      <c r="AU13" s="127">
        <v>58</v>
      </c>
      <c r="AV13" s="127">
        <v>57.5</v>
      </c>
      <c r="AW13" s="127">
        <v>51.8</v>
      </c>
      <c r="AX13" s="127">
        <v>81.7</v>
      </c>
      <c r="AY13" s="127">
        <v>55.8</v>
      </c>
      <c r="AZ13" s="127">
        <v>64.7</v>
      </c>
      <c r="BA13" s="127">
        <v>73.2</v>
      </c>
      <c r="BB13" s="127">
        <v>71.6</v>
      </c>
      <c r="BC13" s="127">
        <v>76.3</v>
      </c>
      <c r="BD13" s="127"/>
      <c r="BE13" s="181">
        <f>SUM(BJ13:BU13)</f>
        <v>776</v>
      </c>
      <c r="BF13" s="127">
        <f>BJ13+BK13+BL13</f>
        <v>161.6</v>
      </c>
      <c r="BG13" s="127">
        <f>BM13+BN13+BO13</f>
        <v>185.3</v>
      </c>
      <c r="BH13" s="127">
        <f>BP13+BQ13+BR13</f>
        <v>214.3</v>
      </c>
      <c r="BI13" s="127">
        <f aca="true" t="shared" si="25" ref="BI13:BI32">BS13+BT13+BU13</f>
        <v>214.8</v>
      </c>
      <c r="BJ13" s="127">
        <v>54.3</v>
      </c>
      <c r="BK13" s="127">
        <v>48.1</v>
      </c>
      <c r="BL13" s="127">
        <v>59.2</v>
      </c>
      <c r="BM13" s="127">
        <v>66.9</v>
      </c>
      <c r="BN13" s="127">
        <v>53.9</v>
      </c>
      <c r="BO13" s="127">
        <v>64.5</v>
      </c>
      <c r="BP13" s="127">
        <v>67.8</v>
      </c>
      <c r="BQ13" s="127">
        <v>71.1</v>
      </c>
      <c r="BR13" s="127">
        <v>75.4</v>
      </c>
      <c r="BS13" s="130">
        <v>61.2</v>
      </c>
      <c r="BT13" s="127">
        <v>69.1</v>
      </c>
      <c r="BU13" s="135">
        <v>84.5</v>
      </c>
      <c r="BW13" s="169">
        <v>869.5</v>
      </c>
      <c r="BX13" s="123">
        <f>CB13+CC13+CD13</f>
        <v>148.1</v>
      </c>
      <c r="BY13" s="123">
        <f>CE13+CF13+CG13</f>
        <v>193.4</v>
      </c>
      <c r="BZ13" s="123">
        <f>CH13+CI13+CJ13</f>
        <v>327.4</v>
      </c>
      <c r="CA13" s="123">
        <f>CK13+CL13+CM13</f>
        <v>200.6</v>
      </c>
      <c r="CB13" s="127">
        <v>57.2</v>
      </c>
      <c r="CC13" s="127">
        <v>49.8</v>
      </c>
      <c r="CD13" s="127">
        <v>41.1</v>
      </c>
      <c r="CE13" s="127">
        <v>60.9</v>
      </c>
      <c r="CF13" s="127">
        <v>67.8</v>
      </c>
      <c r="CG13" s="134">
        <v>64.7</v>
      </c>
      <c r="CH13" s="127">
        <v>77.9</v>
      </c>
      <c r="CI13" s="134">
        <v>92.1</v>
      </c>
      <c r="CJ13" s="134">
        <v>157.4</v>
      </c>
      <c r="CK13" s="134">
        <v>13.7</v>
      </c>
      <c r="CL13" s="134">
        <v>86.9</v>
      </c>
      <c r="CM13" s="134">
        <v>100</v>
      </c>
      <c r="CN13" s="134"/>
      <c r="CO13" s="169">
        <v>1479.4</v>
      </c>
      <c r="CP13" s="134">
        <f t="shared" si="10"/>
        <v>236.2</v>
      </c>
      <c r="CQ13" s="134">
        <f>CW13+CX13+CY13</f>
        <v>306.7</v>
      </c>
      <c r="CR13" s="134">
        <f>CZ13+DA13+DB13</f>
        <v>496.9</v>
      </c>
      <c r="CS13" s="134">
        <f t="shared" si="11"/>
        <v>439.6</v>
      </c>
      <c r="CT13" s="127">
        <v>65.1</v>
      </c>
      <c r="CU13" s="127">
        <v>74.9</v>
      </c>
      <c r="CV13" s="127">
        <v>96.2</v>
      </c>
      <c r="CW13" s="134">
        <v>97.6</v>
      </c>
      <c r="CX13" s="134">
        <v>104.3</v>
      </c>
      <c r="CY13" s="134">
        <v>104.8</v>
      </c>
      <c r="CZ13" s="134">
        <v>140.7</v>
      </c>
      <c r="DA13" s="127">
        <v>165.7</v>
      </c>
      <c r="DB13" s="127">
        <v>190.5</v>
      </c>
      <c r="DC13" s="134">
        <v>146.3</v>
      </c>
      <c r="DD13" s="134">
        <v>141.3</v>
      </c>
      <c r="DE13" s="127">
        <v>152</v>
      </c>
      <c r="DF13" s="127"/>
      <c r="DG13" s="181">
        <v>1345</v>
      </c>
      <c r="DH13" s="134">
        <f t="shared" si="12"/>
        <v>233.1</v>
      </c>
      <c r="DI13" s="134">
        <f t="shared" si="13"/>
        <v>288.5</v>
      </c>
      <c r="DJ13" s="134">
        <f>DR13+DS13+DT13</f>
        <v>358.5</v>
      </c>
      <c r="DK13" s="134">
        <f t="shared" si="14"/>
        <v>464.9</v>
      </c>
      <c r="DL13" s="127">
        <v>59.4</v>
      </c>
      <c r="DM13" s="127">
        <v>77.2</v>
      </c>
      <c r="DN13" s="127">
        <v>96.5</v>
      </c>
      <c r="DO13" s="127">
        <v>80.9</v>
      </c>
      <c r="DP13" s="127">
        <v>96.2</v>
      </c>
      <c r="DQ13" s="135">
        <v>111.4</v>
      </c>
      <c r="DR13" s="134">
        <v>100.5</v>
      </c>
      <c r="DS13" s="134">
        <v>97.7</v>
      </c>
      <c r="DT13" s="127">
        <v>160.3</v>
      </c>
      <c r="DU13" s="158">
        <v>136.3</v>
      </c>
      <c r="DV13" s="192">
        <v>157.2</v>
      </c>
      <c r="DW13" s="134">
        <v>171.4</v>
      </c>
      <c r="DX13" s="134"/>
      <c r="DY13" s="169">
        <v>1784.1</v>
      </c>
      <c r="DZ13" s="134">
        <f t="shared" si="15"/>
        <v>299.3</v>
      </c>
      <c r="EA13" s="134">
        <f>EG13+EH13+EI13</f>
        <v>275.5</v>
      </c>
      <c r="EB13" s="134">
        <f t="shared" si="16"/>
        <v>539.2</v>
      </c>
      <c r="EC13" s="134">
        <f t="shared" si="17"/>
        <v>670.1</v>
      </c>
      <c r="ED13" s="18">
        <v>99.5</v>
      </c>
      <c r="EE13" s="18">
        <v>91</v>
      </c>
      <c r="EF13" s="18">
        <v>108.8</v>
      </c>
      <c r="EG13" s="18">
        <v>96.5</v>
      </c>
      <c r="EH13" s="18">
        <v>77</v>
      </c>
      <c r="EI13" s="18">
        <v>102</v>
      </c>
      <c r="EJ13" s="53">
        <v>147.2</v>
      </c>
      <c r="EK13" s="18">
        <v>158</v>
      </c>
      <c r="EL13" s="18">
        <v>234</v>
      </c>
      <c r="EM13" s="134">
        <v>227.8</v>
      </c>
      <c r="EN13" s="18">
        <v>214.8</v>
      </c>
      <c r="EO13" s="134">
        <v>227.5</v>
      </c>
      <c r="EP13" s="134"/>
      <c r="EQ13" s="245">
        <v>2401.3</v>
      </c>
      <c r="ER13" s="127">
        <v>479.8</v>
      </c>
      <c r="ES13" s="127">
        <v>469.5</v>
      </c>
      <c r="ET13" s="127">
        <v>620.3</v>
      </c>
      <c r="EU13" s="127">
        <v>831.7</v>
      </c>
      <c r="EV13" s="134">
        <v>174.2</v>
      </c>
      <c r="EW13" s="18">
        <v>133</v>
      </c>
      <c r="EX13" s="18">
        <v>172.6</v>
      </c>
      <c r="EY13" s="134">
        <v>162.7</v>
      </c>
      <c r="EZ13" s="192">
        <v>133.3</v>
      </c>
      <c r="FA13" s="192">
        <v>173.5</v>
      </c>
      <c r="FB13" s="192">
        <v>199</v>
      </c>
      <c r="FC13" s="18">
        <v>176.6</v>
      </c>
      <c r="FD13" s="192">
        <v>244.7</v>
      </c>
      <c r="FE13" s="192">
        <v>280.2</v>
      </c>
      <c r="FF13" s="192">
        <v>230.3</v>
      </c>
      <c r="FG13" s="192">
        <v>321.2</v>
      </c>
      <c r="FH13" s="192"/>
      <c r="FI13" s="269">
        <v>3032.6</v>
      </c>
      <c r="FJ13" s="192">
        <v>527.9</v>
      </c>
      <c r="FK13" s="242">
        <v>555.7</v>
      </c>
      <c r="FL13" s="242">
        <v>931.5</v>
      </c>
      <c r="FM13" s="18">
        <v>1017.4</v>
      </c>
      <c r="FN13" s="18">
        <v>189.2</v>
      </c>
      <c r="FO13" s="18">
        <v>166.9</v>
      </c>
      <c r="FP13" s="18">
        <v>171.8</v>
      </c>
      <c r="FQ13" s="242">
        <v>156.5</v>
      </c>
      <c r="FR13" s="242">
        <v>150.3</v>
      </c>
      <c r="FS13" s="18">
        <v>248.9</v>
      </c>
      <c r="FT13" s="242">
        <v>267</v>
      </c>
      <c r="FU13" s="242">
        <v>261.2</v>
      </c>
      <c r="FV13" s="242">
        <v>403.3</v>
      </c>
      <c r="FW13" s="242">
        <v>408.2</v>
      </c>
      <c r="FX13" s="242">
        <v>290.7</v>
      </c>
      <c r="FY13" s="242">
        <v>318.5</v>
      </c>
      <c r="FZ13" s="242">
        <v>3662.5</v>
      </c>
      <c r="GA13" s="272">
        <f t="shared" si="18"/>
        <v>743.8</v>
      </c>
      <c r="GB13" s="272">
        <f t="shared" si="19"/>
        <v>744.9</v>
      </c>
      <c r="GC13" s="272">
        <f t="shared" si="20"/>
        <v>991.2</v>
      </c>
      <c r="GD13" s="272">
        <f t="shared" si="21"/>
        <v>1182.6</v>
      </c>
      <c r="GE13" s="19">
        <v>231.8</v>
      </c>
      <c r="GF13" s="19">
        <v>256.1</v>
      </c>
      <c r="GG13" s="19">
        <v>255.9</v>
      </c>
      <c r="GH13" s="272">
        <v>199</v>
      </c>
      <c r="GI13" s="272">
        <v>218.6</v>
      </c>
      <c r="GJ13" s="272">
        <v>327.3</v>
      </c>
      <c r="GK13" s="272">
        <v>172.6</v>
      </c>
      <c r="GL13" s="272">
        <v>385.3</v>
      </c>
      <c r="GM13" s="272">
        <v>433.3</v>
      </c>
      <c r="GN13" s="272">
        <v>366.2</v>
      </c>
      <c r="GO13" s="19">
        <v>460.2</v>
      </c>
      <c r="GP13" s="272">
        <v>356.2</v>
      </c>
      <c r="GQ13" s="193"/>
    </row>
    <row r="14" spans="1:199" ht="15" customHeight="1">
      <c r="A14" s="25" t="s">
        <v>50</v>
      </c>
      <c r="B14" s="154" t="s">
        <v>63</v>
      </c>
      <c r="C14" s="181">
        <f t="shared" si="0"/>
        <v>143.3</v>
      </c>
      <c r="D14" s="127">
        <f>H14+I14+J14</f>
        <v>6.9</v>
      </c>
      <c r="E14" s="127">
        <f t="shared" si="1"/>
        <v>29.2</v>
      </c>
      <c r="F14" s="127">
        <f t="shared" si="2"/>
        <v>44.5</v>
      </c>
      <c r="G14" s="127">
        <f t="shared" si="3"/>
        <v>62.7</v>
      </c>
      <c r="H14" s="264">
        <v>2.4</v>
      </c>
      <c r="I14" s="264">
        <v>3.2</v>
      </c>
      <c r="J14" s="264">
        <v>1.3</v>
      </c>
      <c r="K14" s="127">
        <v>1.9</v>
      </c>
      <c r="L14" s="127">
        <v>3.1</v>
      </c>
      <c r="M14" s="127">
        <v>24.2</v>
      </c>
      <c r="N14" s="127">
        <v>10.2</v>
      </c>
      <c r="O14" s="127">
        <v>17.2</v>
      </c>
      <c r="P14" s="127">
        <v>17.1</v>
      </c>
      <c r="Q14" s="127">
        <v>39.9</v>
      </c>
      <c r="R14" s="127">
        <v>5.1</v>
      </c>
      <c r="S14" s="127">
        <v>17.7</v>
      </c>
      <c r="T14" s="127"/>
      <c r="U14" s="169">
        <f>V14+W14+X14+Y14</f>
        <v>309.5</v>
      </c>
      <c r="V14" s="134">
        <f t="shared" si="4"/>
        <v>19.6</v>
      </c>
      <c r="W14" s="134">
        <f t="shared" si="5"/>
        <v>110.8</v>
      </c>
      <c r="X14" s="134">
        <f t="shared" si="6"/>
        <v>85.2</v>
      </c>
      <c r="Y14" s="134">
        <f t="shared" si="7"/>
        <v>93.9</v>
      </c>
      <c r="Z14" s="127">
        <v>1.2</v>
      </c>
      <c r="AA14" s="127">
        <v>1.5</v>
      </c>
      <c r="AB14" s="127">
        <v>16.9</v>
      </c>
      <c r="AC14" s="127">
        <v>36.9</v>
      </c>
      <c r="AD14" s="127">
        <v>39.1</v>
      </c>
      <c r="AE14" s="127">
        <v>34.8</v>
      </c>
      <c r="AF14" s="127">
        <v>15.1</v>
      </c>
      <c r="AG14" s="127">
        <v>14.2</v>
      </c>
      <c r="AH14" s="127">
        <v>55.9</v>
      </c>
      <c r="AI14" s="127">
        <v>11.5</v>
      </c>
      <c r="AJ14" s="127">
        <v>14.4</v>
      </c>
      <c r="AK14" s="127">
        <v>68</v>
      </c>
      <c r="AL14" s="127"/>
      <c r="AM14" s="169">
        <f t="shared" si="8"/>
        <v>191.2</v>
      </c>
      <c r="AN14" s="127">
        <f>AR14+AS14+AT14</f>
        <v>36.5</v>
      </c>
      <c r="AO14" s="127">
        <f t="shared" si="22"/>
        <v>49.7</v>
      </c>
      <c r="AP14" s="127">
        <f t="shared" si="23"/>
        <v>59.7</v>
      </c>
      <c r="AQ14" s="127">
        <f t="shared" si="24"/>
        <v>45.3</v>
      </c>
      <c r="AR14" s="127">
        <v>9.7</v>
      </c>
      <c r="AS14" s="127">
        <v>11.5</v>
      </c>
      <c r="AT14" s="127">
        <v>15.3</v>
      </c>
      <c r="AU14" s="127">
        <v>13</v>
      </c>
      <c r="AV14" s="127">
        <v>16.2</v>
      </c>
      <c r="AW14" s="127">
        <v>20.5</v>
      </c>
      <c r="AX14" s="127">
        <v>16.3</v>
      </c>
      <c r="AY14" s="127">
        <v>17.2</v>
      </c>
      <c r="AZ14" s="127">
        <v>26.2</v>
      </c>
      <c r="BA14" s="127">
        <v>17.6</v>
      </c>
      <c r="BB14" s="127">
        <v>13.7</v>
      </c>
      <c r="BC14" s="127">
        <v>14</v>
      </c>
      <c r="BD14" s="127"/>
      <c r="BE14" s="181">
        <f>SUM(BJ14:BU14)</f>
        <v>360.1</v>
      </c>
      <c r="BF14" s="127">
        <f>BJ14+BK14+BL14</f>
        <v>42.9</v>
      </c>
      <c r="BG14" s="127">
        <f>BM14+BN14+BO14</f>
        <v>67.7</v>
      </c>
      <c r="BH14" s="127">
        <f>BP14+BQ14+BR14</f>
        <v>97.7</v>
      </c>
      <c r="BI14" s="127">
        <f t="shared" si="25"/>
        <v>151.8</v>
      </c>
      <c r="BJ14" s="127">
        <v>6.1</v>
      </c>
      <c r="BK14" s="127">
        <v>14.7</v>
      </c>
      <c r="BL14" s="127">
        <v>22.1</v>
      </c>
      <c r="BM14" s="127">
        <v>14.9</v>
      </c>
      <c r="BN14" s="127">
        <v>26.5</v>
      </c>
      <c r="BO14" s="127">
        <v>26.3</v>
      </c>
      <c r="BP14" s="127">
        <v>17.3</v>
      </c>
      <c r="BQ14" s="127">
        <v>56</v>
      </c>
      <c r="BR14" s="127">
        <v>24.4</v>
      </c>
      <c r="BS14" s="130">
        <v>38.1</v>
      </c>
      <c r="BT14" s="127">
        <f>41.7+2.4</f>
        <v>44.1</v>
      </c>
      <c r="BU14" s="130">
        <v>69.6</v>
      </c>
      <c r="BW14" s="169">
        <v>422.3</v>
      </c>
      <c r="BX14" s="123">
        <f>CB14+CC14+CD14</f>
        <v>79.8</v>
      </c>
      <c r="BY14" s="123">
        <f>CE14+CF14+CG14</f>
        <v>86.5</v>
      </c>
      <c r="BZ14" s="123">
        <f>CH14+CI14+CJ14</f>
        <v>185.2</v>
      </c>
      <c r="CA14" s="123">
        <f>CK14+CL14+CM14</f>
        <v>70.8</v>
      </c>
      <c r="CB14" s="127">
        <v>28.5</v>
      </c>
      <c r="CC14" s="127">
        <v>26.3</v>
      </c>
      <c r="CD14" s="127">
        <v>25</v>
      </c>
      <c r="CE14" s="127">
        <v>30.8</v>
      </c>
      <c r="CF14" s="127">
        <v>26.3</v>
      </c>
      <c r="CG14" s="134">
        <v>29.4</v>
      </c>
      <c r="CH14" s="127">
        <v>32.8</v>
      </c>
      <c r="CI14" s="134">
        <v>53</v>
      </c>
      <c r="CJ14" s="134">
        <v>99.4</v>
      </c>
      <c r="CK14" s="134">
        <v>9.5</v>
      </c>
      <c r="CL14" s="134">
        <v>34</v>
      </c>
      <c r="CM14" s="134">
        <v>27.3</v>
      </c>
      <c r="CN14" s="134"/>
      <c r="CO14" s="169">
        <v>404.9</v>
      </c>
      <c r="CP14" s="134">
        <f t="shared" si="10"/>
        <v>40.4</v>
      </c>
      <c r="CQ14" s="134">
        <f>CW14+CX14+CY14</f>
        <v>89.8</v>
      </c>
      <c r="CR14" s="134">
        <f>CZ14+DA14+DB14</f>
        <v>106.3</v>
      </c>
      <c r="CS14" s="134">
        <f t="shared" si="11"/>
        <v>168.4</v>
      </c>
      <c r="CT14" s="127">
        <v>6.4</v>
      </c>
      <c r="CU14" s="127">
        <v>8</v>
      </c>
      <c r="CV14" s="127">
        <v>26</v>
      </c>
      <c r="CW14" s="134">
        <v>20.7</v>
      </c>
      <c r="CX14" s="134">
        <v>30.7</v>
      </c>
      <c r="CY14" s="134">
        <v>38.4</v>
      </c>
      <c r="CZ14" s="134">
        <v>44.7</v>
      </c>
      <c r="DA14" s="127">
        <v>41.3</v>
      </c>
      <c r="DB14" s="127">
        <v>20.3</v>
      </c>
      <c r="DC14" s="134">
        <v>50.9</v>
      </c>
      <c r="DD14" s="134">
        <v>72.1</v>
      </c>
      <c r="DE14" s="127">
        <v>45.4</v>
      </c>
      <c r="DF14" s="127"/>
      <c r="DG14" s="181">
        <v>594.7</v>
      </c>
      <c r="DH14" s="134">
        <f t="shared" si="12"/>
        <v>39.8</v>
      </c>
      <c r="DI14" s="134">
        <f t="shared" si="13"/>
        <v>164.4</v>
      </c>
      <c r="DJ14" s="134">
        <f>DR14+DS14+DT14</f>
        <v>247.2</v>
      </c>
      <c r="DK14" s="134">
        <f t="shared" si="14"/>
        <v>143.3</v>
      </c>
      <c r="DL14" s="127">
        <v>14.1</v>
      </c>
      <c r="DM14" s="127">
        <v>8.1</v>
      </c>
      <c r="DN14" s="127">
        <v>17.6</v>
      </c>
      <c r="DO14" s="127">
        <v>43.3</v>
      </c>
      <c r="DP14" s="127">
        <v>31.9</v>
      </c>
      <c r="DQ14" s="135">
        <v>89.2</v>
      </c>
      <c r="DR14" s="134">
        <v>84.4</v>
      </c>
      <c r="DS14" s="134">
        <v>87.3</v>
      </c>
      <c r="DT14" s="127">
        <v>75.5</v>
      </c>
      <c r="DU14" s="158">
        <v>57.5</v>
      </c>
      <c r="DV14" s="192">
        <v>41.4</v>
      </c>
      <c r="DW14" s="134">
        <v>44.4</v>
      </c>
      <c r="DX14" s="134"/>
      <c r="DY14" s="169">
        <v>615.6</v>
      </c>
      <c r="DZ14" s="134">
        <f t="shared" si="15"/>
        <v>22.6</v>
      </c>
      <c r="EA14" s="134">
        <f>EG14+EH14+EI14</f>
        <v>155.1</v>
      </c>
      <c r="EB14" s="134">
        <f t="shared" si="16"/>
        <v>197.6</v>
      </c>
      <c r="EC14" s="134">
        <f t="shared" si="17"/>
        <v>240.3</v>
      </c>
      <c r="ED14" s="18">
        <v>4.7</v>
      </c>
      <c r="EE14" s="18">
        <v>1.1</v>
      </c>
      <c r="EF14" s="18">
        <v>16.8</v>
      </c>
      <c r="EG14" s="18">
        <v>45.8</v>
      </c>
      <c r="EH14" s="18">
        <v>55.9</v>
      </c>
      <c r="EI14" s="18">
        <v>53.4</v>
      </c>
      <c r="EJ14" s="53">
        <v>53.6</v>
      </c>
      <c r="EK14" s="18">
        <v>80.6</v>
      </c>
      <c r="EL14" s="18">
        <v>63.4</v>
      </c>
      <c r="EM14" s="134">
        <v>76.7</v>
      </c>
      <c r="EN14" s="18">
        <v>60.6</v>
      </c>
      <c r="EO14" s="134">
        <v>103</v>
      </c>
      <c r="EP14" s="134"/>
      <c r="EQ14" s="245">
        <v>1281.7</v>
      </c>
      <c r="ER14" s="127">
        <v>69</v>
      </c>
      <c r="ES14" s="127">
        <v>352.9</v>
      </c>
      <c r="ET14" s="127">
        <v>517.7</v>
      </c>
      <c r="EU14" s="127">
        <v>342.1</v>
      </c>
      <c r="EV14" s="134">
        <v>11</v>
      </c>
      <c r="EW14" s="18">
        <v>9.7</v>
      </c>
      <c r="EX14" s="18">
        <v>48.3</v>
      </c>
      <c r="EY14" s="134">
        <v>57.6</v>
      </c>
      <c r="EZ14" s="192">
        <v>113.2</v>
      </c>
      <c r="FA14" s="192">
        <v>182.1</v>
      </c>
      <c r="FB14" s="192">
        <v>175.7</v>
      </c>
      <c r="FC14" s="158">
        <v>164.5</v>
      </c>
      <c r="FD14" s="192">
        <v>177.5</v>
      </c>
      <c r="FE14" s="192">
        <v>113.8</v>
      </c>
      <c r="FF14" s="192">
        <v>116</v>
      </c>
      <c r="FG14" s="192">
        <v>112.3</v>
      </c>
      <c r="FH14" s="192"/>
      <c r="FI14" s="269">
        <v>3029.9</v>
      </c>
      <c r="FJ14" s="192">
        <v>17</v>
      </c>
      <c r="FK14" s="242">
        <v>579.5</v>
      </c>
      <c r="FL14" s="242">
        <v>1143.2</v>
      </c>
      <c r="FM14" s="18">
        <v>1290.2</v>
      </c>
      <c r="FN14" s="19">
        <v>0</v>
      </c>
      <c r="FO14" s="19">
        <v>0</v>
      </c>
      <c r="FP14" s="19">
        <v>17</v>
      </c>
      <c r="FQ14" s="242">
        <v>101.6</v>
      </c>
      <c r="FR14" s="242">
        <v>254.9</v>
      </c>
      <c r="FS14" s="18">
        <v>223</v>
      </c>
      <c r="FT14" s="242">
        <v>773.5</v>
      </c>
      <c r="FU14" s="242">
        <v>218.5</v>
      </c>
      <c r="FV14" s="242">
        <v>151.2</v>
      </c>
      <c r="FW14" s="242">
        <v>734.5</v>
      </c>
      <c r="FX14" s="242">
        <v>240.2</v>
      </c>
      <c r="FY14" s="242">
        <v>315.5</v>
      </c>
      <c r="FZ14" s="242">
        <v>1405.1</v>
      </c>
      <c r="GA14" s="272">
        <f t="shared" si="18"/>
        <v>101.2</v>
      </c>
      <c r="GB14" s="272">
        <f t="shared" si="19"/>
        <v>492.4</v>
      </c>
      <c r="GC14" s="272">
        <f t="shared" si="20"/>
        <v>471.2</v>
      </c>
      <c r="GD14" s="272">
        <f t="shared" si="21"/>
        <v>340.3</v>
      </c>
      <c r="GE14" s="18">
        <v>25.2</v>
      </c>
      <c r="GF14" s="18">
        <v>26.8</v>
      </c>
      <c r="GG14" s="18">
        <v>49.2</v>
      </c>
      <c r="GH14" s="242">
        <v>54.9</v>
      </c>
      <c r="GI14" s="242">
        <v>69.1</v>
      </c>
      <c r="GJ14" s="242">
        <v>368.4</v>
      </c>
      <c r="GK14" s="242">
        <v>140</v>
      </c>
      <c r="GL14" s="242">
        <v>129.4</v>
      </c>
      <c r="GM14" s="242">
        <v>201.8</v>
      </c>
      <c r="GN14" s="242">
        <v>170.1</v>
      </c>
      <c r="GO14" s="18">
        <v>80.8</v>
      </c>
      <c r="GP14" s="242">
        <v>89.4</v>
      </c>
      <c r="GQ14" s="193"/>
    </row>
    <row r="15" spans="1:199" ht="12">
      <c r="A15" s="25"/>
      <c r="B15" s="154"/>
      <c r="C15" s="181"/>
      <c r="D15" s="127"/>
      <c r="E15" s="127"/>
      <c r="F15" s="127"/>
      <c r="G15" s="127"/>
      <c r="H15" s="264"/>
      <c r="I15" s="264"/>
      <c r="J15" s="264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69"/>
      <c r="V15" s="134"/>
      <c r="W15" s="134"/>
      <c r="X15" s="134"/>
      <c r="Y15" s="134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69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81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30"/>
      <c r="BT15" s="127"/>
      <c r="BU15" s="130"/>
      <c r="BW15" s="169"/>
      <c r="BX15" s="123"/>
      <c r="BY15" s="123"/>
      <c r="BZ15" s="123"/>
      <c r="CA15" s="123"/>
      <c r="CB15" s="127"/>
      <c r="CC15" s="127"/>
      <c r="CD15" s="127"/>
      <c r="CE15" s="127"/>
      <c r="CF15" s="127"/>
      <c r="CG15" s="134"/>
      <c r="CH15" s="127"/>
      <c r="CI15" s="134"/>
      <c r="CJ15" s="134"/>
      <c r="CK15" s="134"/>
      <c r="CL15" s="134"/>
      <c r="CM15" s="134"/>
      <c r="CN15" s="134"/>
      <c r="CO15" s="169"/>
      <c r="CP15" s="134"/>
      <c r="CQ15" s="134"/>
      <c r="CR15" s="134"/>
      <c r="CS15" s="134"/>
      <c r="CT15" s="127"/>
      <c r="CU15" s="127"/>
      <c r="CV15" s="127"/>
      <c r="CW15" s="134"/>
      <c r="CX15" s="134"/>
      <c r="CY15" s="134"/>
      <c r="CZ15" s="134"/>
      <c r="DA15" s="127"/>
      <c r="DB15" s="127"/>
      <c r="DC15" s="134"/>
      <c r="DD15" s="134"/>
      <c r="DE15" s="127"/>
      <c r="DF15" s="127"/>
      <c r="DG15" s="181"/>
      <c r="DH15" s="134"/>
      <c r="DI15" s="134"/>
      <c r="DJ15" s="134"/>
      <c r="DK15" s="134"/>
      <c r="DL15" s="127"/>
      <c r="DM15" s="127"/>
      <c r="DN15" s="127"/>
      <c r="DO15" s="127"/>
      <c r="DP15" s="127"/>
      <c r="DQ15" s="135"/>
      <c r="DR15" s="134"/>
      <c r="DS15" s="134"/>
      <c r="DT15" s="127"/>
      <c r="DU15" s="158"/>
      <c r="DV15" s="192"/>
      <c r="DW15" s="134"/>
      <c r="DX15" s="134"/>
      <c r="DY15" s="169"/>
      <c r="DZ15" s="134"/>
      <c r="EA15" s="134"/>
      <c r="EB15" s="134"/>
      <c r="EC15" s="134"/>
      <c r="EJ15" s="53"/>
      <c r="EM15" s="134"/>
      <c r="EO15" s="134"/>
      <c r="EP15" s="134"/>
      <c r="EQ15" s="245"/>
      <c r="ER15" s="127"/>
      <c r="ES15" s="127"/>
      <c r="ET15" s="127"/>
      <c r="EU15" s="127"/>
      <c r="EV15" s="134"/>
      <c r="EY15" s="134"/>
      <c r="EZ15" s="192"/>
      <c r="FA15" s="192"/>
      <c r="FB15" s="192"/>
      <c r="FC15" s="158"/>
      <c r="FD15" s="192"/>
      <c r="FE15" s="192"/>
      <c r="FF15" s="192"/>
      <c r="FG15" s="192"/>
      <c r="FH15" s="192"/>
      <c r="FI15" s="270"/>
      <c r="FJ15" s="192"/>
      <c r="FK15" s="242"/>
      <c r="FL15" s="242"/>
      <c r="FN15" s="19"/>
      <c r="FO15" s="19"/>
      <c r="FP15" s="19"/>
      <c r="FQ15" s="242"/>
      <c r="FR15" s="242"/>
      <c r="FT15" s="242"/>
      <c r="FU15" s="242"/>
      <c r="FV15" s="242"/>
      <c r="FW15" s="242"/>
      <c r="FX15" s="242"/>
      <c r="FY15" s="242"/>
      <c r="FZ15" s="242"/>
      <c r="GA15" s="193"/>
      <c r="GB15" s="193"/>
      <c r="GC15" s="193"/>
      <c r="GD15" s="193"/>
      <c r="GH15" s="242"/>
      <c r="GI15" s="242"/>
      <c r="GJ15" s="242"/>
      <c r="GK15" s="242"/>
      <c r="GL15" s="242"/>
      <c r="GM15" s="242"/>
      <c r="GN15" s="242"/>
      <c r="GO15" s="242"/>
      <c r="GP15" s="242"/>
      <c r="GQ15" s="193"/>
    </row>
    <row r="16" spans="1:199" s="13" customFormat="1" ht="12">
      <c r="A16" s="28" t="s">
        <v>37</v>
      </c>
      <c r="B16" s="28" t="s">
        <v>18</v>
      </c>
      <c r="C16" s="220">
        <f t="shared" si="0"/>
        <v>38008.3</v>
      </c>
      <c r="D16" s="123">
        <f aca="true" t="shared" si="26" ref="D16:D30">H16+I16+J16</f>
        <v>8476.9</v>
      </c>
      <c r="E16" s="123">
        <f t="shared" si="1"/>
        <v>6807</v>
      </c>
      <c r="F16" s="123">
        <f t="shared" si="2"/>
        <v>10077.5</v>
      </c>
      <c r="G16" s="123">
        <f t="shared" si="3"/>
        <v>12646.9</v>
      </c>
      <c r="H16" s="263">
        <v>2786.3</v>
      </c>
      <c r="I16" s="263">
        <v>2686.8</v>
      </c>
      <c r="J16" s="263">
        <v>3003.8</v>
      </c>
      <c r="K16" s="263">
        <v>2318.5</v>
      </c>
      <c r="L16" s="263">
        <v>2296.2</v>
      </c>
      <c r="M16" s="263">
        <v>2192.3</v>
      </c>
      <c r="N16" s="263">
        <v>2948.4</v>
      </c>
      <c r="O16" s="263">
        <v>3277.4</v>
      </c>
      <c r="P16" s="263">
        <v>3851.7</v>
      </c>
      <c r="Q16" s="263">
        <v>3702.3</v>
      </c>
      <c r="R16" s="263">
        <v>4249.4</v>
      </c>
      <c r="S16" s="263">
        <v>4695.2</v>
      </c>
      <c r="T16" s="123"/>
      <c r="U16" s="168">
        <f aca="true" t="shared" si="27" ref="U16:U30">V16+W16+X16+Y16</f>
        <v>44063.3</v>
      </c>
      <c r="V16" s="123">
        <f t="shared" si="4"/>
        <v>10654.9</v>
      </c>
      <c r="W16" s="123">
        <f t="shared" si="5"/>
        <v>10767.8</v>
      </c>
      <c r="X16" s="123">
        <f t="shared" si="6"/>
        <v>10993.6</v>
      </c>
      <c r="Y16" s="123">
        <f t="shared" si="7"/>
        <v>11647</v>
      </c>
      <c r="Z16" s="263">
        <v>3243.5</v>
      </c>
      <c r="AA16" s="263">
        <v>3506.6</v>
      </c>
      <c r="AB16" s="263">
        <v>3904.8</v>
      </c>
      <c r="AC16" s="263">
        <v>3533.9</v>
      </c>
      <c r="AD16" s="263">
        <v>3681.9</v>
      </c>
      <c r="AE16" s="263">
        <v>3552</v>
      </c>
      <c r="AF16" s="263">
        <v>3411.4</v>
      </c>
      <c r="AG16" s="263">
        <v>3790.6</v>
      </c>
      <c r="AH16" s="263">
        <v>3791.6</v>
      </c>
      <c r="AI16" s="263">
        <v>3892.5</v>
      </c>
      <c r="AJ16" s="263">
        <v>3851.4</v>
      </c>
      <c r="AK16" s="263">
        <v>3903.1</v>
      </c>
      <c r="AL16" s="123"/>
      <c r="AM16" s="168">
        <f t="shared" si="8"/>
        <v>40099.3</v>
      </c>
      <c r="AN16" s="123">
        <f aca="true" t="shared" si="28" ref="AN16:AN30">AR16+AS16+AT16</f>
        <v>9518.1</v>
      </c>
      <c r="AO16" s="123">
        <f t="shared" si="22"/>
        <v>10022.9</v>
      </c>
      <c r="AP16" s="123">
        <f t="shared" si="23"/>
        <v>10351.3</v>
      </c>
      <c r="AQ16" s="123">
        <f t="shared" si="24"/>
        <v>10207</v>
      </c>
      <c r="AR16" s="123">
        <v>3329.4</v>
      </c>
      <c r="AS16" s="123">
        <v>2951.7</v>
      </c>
      <c r="AT16" s="123">
        <v>3237</v>
      </c>
      <c r="AU16" s="123">
        <v>3264.4</v>
      </c>
      <c r="AV16" s="123">
        <v>3326.9</v>
      </c>
      <c r="AW16" s="123">
        <v>3431.6</v>
      </c>
      <c r="AX16" s="123">
        <v>3416.9</v>
      </c>
      <c r="AY16" s="123">
        <v>3661.1</v>
      </c>
      <c r="AZ16" s="123">
        <v>3273.3</v>
      </c>
      <c r="BA16" s="123">
        <v>3317.7</v>
      </c>
      <c r="BB16" s="129">
        <v>3408.8</v>
      </c>
      <c r="BC16" s="129">
        <v>3480.5</v>
      </c>
      <c r="BD16" s="129"/>
      <c r="BE16" s="220">
        <v>42513.2</v>
      </c>
      <c r="BF16" s="123">
        <f aca="true" t="shared" si="29" ref="BF16:BF30">BJ16+BK16+BL16</f>
        <v>10518.1</v>
      </c>
      <c r="BG16" s="123">
        <f aca="true" t="shared" si="30" ref="BG16:BG30">BM16+BN16+BO16</f>
        <v>11593.4</v>
      </c>
      <c r="BH16" s="123">
        <f aca="true" t="shared" si="31" ref="BH16:BH30">BP16+BQ16+BR16</f>
        <v>9939.1</v>
      </c>
      <c r="BI16" s="123">
        <f t="shared" si="25"/>
        <v>10462.6</v>
      </c>
      <c r="BJ16" s="125">
        <f aca="true" t="shared" si="32" ref="BJ16:BT16">BJ17+BJ18+BJ19+BJ20+BJ21+BJ22+BJ23+BJ24+BJ25+BJ26+BJ27+BJ28+BJ29+BJ30</f>
        <v>3487.2</v>
      </c>
      <c r="BK16" s="125">
        <f t="shared" si="32"/>
        <v>3243.2</v>
      </c>
      <c r="BL16" s="125">
        <f t="shared" si="32"/>
        <v>3787.7</v>
      </c>
      <c r="BM16" s="125">
        <f t="shared" si="32"/>
        <v>3291</v>
      </c>
      <c r="BN16" s="125">
        <f t="shared" si="32"/>
        <v>3990.4</v>
      </c>
      <c r="BO16" s="125">
        <f t="shared" si="32"/>
        <v>4312</v>
      </c>
      <c r="BP16" s="125">
        <f t="shared" si="32"/>
        <v>3486.7</v>
      </c>
      <c r="BQ16" s="125">
        <f t="shared" si="32"/>
        <v>3429.6</v>
      </c>
      <c r="BR16" s="125">
        <f t="shared" si="32"/>
        <v>3022.8</v>
      </c>
      <c r="BS16" s="125">
        <f t="shared" si="32"/>
        <v>3136.4</v>
      </c>
      <c r="BT16" s="125">
        <f t="shared" si="32"/>
        <v>3611.2</v>
      </c>
      <c r="BU16" s="125">
        <v>3715</v>
      </c>
      <c r="BW16" s="168">
        <v>46243.3</v>
      </c>
      <c r="BX16" s="123">
        <f aca="true" t="shared" si="33" ref="BX16:BX30">CB16+CC16+CD16</f>
        <v>9147.8</v>
      </c>
      <c r="BY16" s="123">
        <f aca="true" t="shared" si="34" ref="BY16:BY30">CE16+CF16+CG16</f>
        <v>11265.6</v>
      </c>
      <c r="BZ16" s="123">
        <f aca="true" t="shared" si="35" ref="BZ16:BZ30">CH16+CI16+CJ16</f>
        <v>11760.2</v>
      </c>
      <c r="CA16" s="123">
        <f aca="true" t="shared" si="36" ref="CA16:CA30">CK16+CL16+CM16</f>
        <v>14069.7</v>
      </c>
      <c r="CB16" s="125">
        <v>2898</v>
      </c>
      <c r="CC16" s="125">
        <v>2960.3</v>
      </c>
      <c r="CD16" s="125">
        <v>3289.5</v>
      </c>
      <c r="CE16" s="125">
        <v>3556.1</v>
      </c>
      <c r="CF16" s="125">
        <v>3733.2</v>
      </c>
      <c r="CG16" s="125">
        <v>3976.3</v>
      </c>
      <c r="CH16" s="125">
        <v>4162</v>
      </c>
      <c r="CI16" s="125">
        <v>3850.3</v>
      </c>
      <c r="CJ16" s="125">
        <v>3747.9</v>
      </c>
      <c r="CK16" s="125">
        <v>3440.1</v>
      </c>
      <c r="CL16" s="125">
        <v>4997.2</v>
      </c>
      <c r="CM16" s="125">
        <v>5632.4</v>
      </c>
      <c r="CN16" s="125"/>
      <c r="CO16" s="168">
        <v>73466.6</v>
      </c>
      <c r="CP16" s="123">
        <f t="shared" si="10"/>
        <v>13305</v>
      </c>
      <c r="CQ16" s="123">
        <f>CW16+CX16+CY16</f>
        <v>17185.7</v>
      </c>
      <c r="CR16" s="123">
        <f aca="true" t="shared" si="37" ref="CR16:CR30">CZ16+DA16+DB16</f>
        <v>18145</v>
      </c>
      <c r="CS16" s="123">
        <f t="shared" si="11"/>
        <v>24830.9</v>
      </c>
      <c r="CT16" s="123">
        <v>3581.2</v>
      </c>
      <c r="CU16" s="123">
        <v>4845.2</v>
      </c>
      <c r="CV16" s="123">
        <v>4878.6</v>
      </c>
      <c r="CW16" s="123">
        <v>5110.4</v>
      </c>
      <c r="CX16" s="123">
        <v>5275</v>
      </c>
      <c r="CY16" s="123">
        <v>6800.3</v>
      </c>
      <c r="CZ16" s="123">
        <v>5996.1</v>
      </c>
      <c r="DA16" s="123">
        <v>5444.5</v>
      </c>
      <c r="DB16" s="123">
        <v>6704.4</v>
      </c>
      <c r="DC16" s="123">
        <v>8095.2</v>
      </c>
      <c r="DD16" s="123">
        <v>7818.4</v>
      </c>
      <c r="DE16" s="123">
        <v>8917.3</v>
      </c>
      <c r="DF16" s="123"/>
      <c r="DG16" s="220">
        <v>81223.9</v>
      </c>
      <c r="DH16" s="123">
        <f t="shared" si="12"/>
        <v>11212.9</v>
      </c>
      <c r="DI16" s="123">
        <f t="shared" si="13"/>
        <v>15884.5</v>
      </c>
      <c r="DJ16" s="123">
        <f aca="true" t="shared" si="38" ref="DJ16:DJ30">DR16+DS16+DT16</f>
        <v>20950.8</v>
      </c>
      <c r="DK16" s="123">
        <f t="shared" si="14"/>
        <v>33175.7</v>
      </c>
      <c r="DL16" s="123">
        <v>3490.6</v>
      </c>
      <c r="DM16" s="123">
        <v>2287</v>
      </c>
      <c r="DN16" s="123">
        <v>5435.3</v>
      </c>
      <c r="DO16" s="123">
        <v>5676</v>
      </c>
      <c r="DP16" s="123">
        <v>4987.3</v>
      </c>
      <c r="DQ16" s="129">
        <v>5221.2</v>
      </c>
      <c r="DR16" s="123">
        <v>6409.8</v>
      </c>
      <c r="DS16" s="123">
        <v>7525.5</v>
      </c>
      <c r="DT16" s="123">
        <v>7015.5</v>
      </c>
      <c r="DU16" s="190">
        <v>5738.6</v>
      </c>
      <c r="DV16" s="190">
        <v>10867.8</v>
      </c>
      <c r="DW16" s="123">
        <v>16569.3</v>
      </c>
      <c r="DX16" s="123"/>
      <c r="DY16" s="168">
        <v>103074.2</v>
      </c>
      <c r="DZ16" s="123">
        <f t="shared" si="15"/>
        <v>27346.5</v>
      </c>
      <c r="EA16" s="123">
        <f aca="true" t="shared" si="39" ref="EA16:EA30">EG16+EH16+EI16</f>
        <v>20277.4</v>
      </c>
      <c r="EB16" s="123">
        <f t="shared" si="16"/>
        <v>18344.3</v>
      </c>
      <c r="EC16" s="123">
        <f t="shared" si="17"/>
        <v>37106</v>
      </c>
      <c r="ED16" s="13">
        <v>10306.1</v>
      </c>
      <c r="EE16" s="13">
        <v>6930</v>
      </c>
      <c r="EF16" s="13">
        <v>10110.4</v>
      </c>
      <c r="EG16" s="13">
        <v>5751.2</v>
      </c>
      <c r="EH16" s="13">
        <v>7849.3</v>
      </c>
      <c r="EI16" s="13">
        <v>6676.9</v>
      </c>
      <c r="EJ16" s="234">
        <v>5698</v>
      </c>
      <c r="EK16" s="13">
        <v>6228.1</v>
      </c>
      <c r="EL16" s="13">
        <v>6418.2</v>
      </c>
      <c r="EM16" s="123">
        <v>5949.5</v>
      </c>
      <c r="EN16" s="13">
        <v>9866.5</v>
      </c>
      <c r="EO16" s="123">
        <v>21290</v>
      </c>
      <c r="EP16" s="123"/>
      <c r="EQ16" s="246">
        <v>135943.6</v>
      </c>
      <c r="ER16" s="123">
        <v>32838.6</v>
      </c>
      <c r="ES16" s="123">
        <v>32498.1</v>
      </c>
      <c r="ET16" s="123">
        <v>35551.6</v>
      </c>
      <c r="EU16" s="123">
        <v>35055.3</v>
      </c>
      <c r="EV16" s="123">
        <v>12733.4</v>
      </c>
      <c r="EW16" s="13">
        <v>12065.7</v>
      </c>
      <c r="EX16" s="13">
        <v>8039.5</v>
      </c>
      <c r="EY16" s="123">
        <v>10699.6</v>
      </c>
      <c r="EZ16" s="190">
        <v>10872</v>
      </c>
      <c r="FA16" s="190">
        <v>10926.5</v>
      </c>
      <c r="FB16" s="190">
        <v>10350.3</v>
      </c>
      <c r="FC16" s="190">
        <v>12395.3</v>
      </c>
      <c r="FD16" s="190">
        <v>12806</v>
      </c>
      <c r="FE16" s="241">
        <v>11937.2</v>
      </c>
      <c r="FF16" s="190">
        <v>11873</v>
      </c>
      <c r="FG16" s="190">
        <v>11245.1</v>
      </c>
      <c r="FH16" s="190"/>
      <c r="FI16" s="270">
        <v>106159.4</v>
      </c>
      <c r="FJ16" s="190">
        <v>19912.7</v>
      </c>
      <c r="FK16" s="13">
        <v>20634.5</v>
      </c>
      <c r="FL16" s="13">
        <v>21702.3</v>
      </c>
      <c r="FM16" s="13">
        <v>43909.9</v>
      </c>
      <c r="FN16" s="13">
        <v>6787.2</v>
      </c>
      <c r="FO16" s="193">
        <v>6639</v>
      </c>
      <c r="FP16" s="13">
        <v>6486.5</v>
      </c>
      <c r="FQ16" s="13">
        <v>6915.3</v>
      </c>
      <c r="FR16" s="13">
        <v>6694.6</v>
      </c>
      <c r="FS16" s="13">
        <v>7024.6</v>
      </c>
      <c r="FT16" s="13">
        <v>6792.2</v>
      </c>
      <c r="FU16" s="13">
        <v>7190.5</v>
      </c>
      <c r="FV16" s="13">
        <v>7719.6</v>
      </c>
      <c r="FW16" s="13">
        <v>9926.1</v>
      </c>
      <c r="FX16" s="13">
        <v>16938.7</v>
      </c>
      <c r="FY16" s="13">
        <v>17045.1</v>
      </c>
      <c r="FZ16" s="13">
        <v>141387.2</v>
      </c>
      <c r="GA16" s="193">
        <f t="shared" si="18"/>
        <v>26300.3</v>
      </c>
      <c r="GB16" s="193">
        <f t="shared" si="19"/>
        <v>24628.2</v>
      </c>
      <c r="GC16" s="193">
        <f t="shared" si="20"/>
        <v>29881.4</v>
      </c>
      <c r="GD16" s="193">
        <f t="shared" si="21"/>
        <v>60577.3</v>
      </c>
      <c r="GE16" s="284">
        <f>GE17+GE18+GE19+GE20+GE21+GE22+GE23+GE24+GE25+GE26+GE27+GE28+GE29+GE30</f>
        <v>7876.9</v>
      </c>
      <c r="GF16" s="284">
        <f aca="true" t="shared" si="40" ref="GF16:GP16">GF17+GF18+GF19+GF20+GF21+GF22+GF23+GF24+GF25+GF26+GF27+GF28+GF29+GF30</f>
        <v>8551.6</v>
      </c>
      <c r="GG16" s="284">
        <f t="shared" si="40"/>
        <v>9871.8</v>
      </c>
      <c r="GH16" s="284">
        <f t="shared" si="40"/>
        <v>8041</v>
      </c>
      <c r="GI16" s="284">
        <f t="shared" si="40"/>
        <v>9353.8</v>
      </c>
      <c r="GJ16" s="284">
        <f t="shared" si="40"/>
        <v>7233.4</v>
      </c>
      <c r="GK16" s="284">
        <f t="shared" si="40"/>
        <v>7991.1</v>
      </c>
      <c r="GL16" s="284">
        <f t="shared" si="40"/>
        <v>7977.5</v>
      </c>
      <c r="GM16" s="284">
        <f t="shared" si="40"/>
        <v>13912.8</v>
      </c>
      <c r="GN16" s="284">
        <f t="shared" si="40"/>
        <v>17074.5</v>
      </c>
      <c r="GO16" s="284">
        <f t="shared" si="40"/>
        <v>21409.7</v>
      </c>
      <c r="GP16" s="284">
        <f t="shared" si="40"/>
        <v>22093.1</v>
      </c>
      <c r="GQ16" s="193"/>
    </row>
    <row r="17" spans="1:199" ht="13.5" customHeight="1">
      <c r="A17" s="108" t="s">
        <v>51</v>
      </c>
      <c r="B17" s="154" t="s">
        <v>64</v>
      </c>
      <c r="C17" s="181">
        <f t="shared" si="0"/>
        <v>6950.9</v>
      </c>
      <c r="D17" s="127">
        <f t="shared" si="26"/>
        <v>1304.3</v>
      </c>
      <c r="E17" s="127">
        <f t="shared" si="1"/>
        <v>1234.2</v>
      </c>
      <c r="F17" s="127">
        <f t="shared" si="2"/>
        <v>1382.7</v>
      </c>
      <c r="G17" s="127">
        <f t="shared" si="3"/>
        <v>3029.7</v>
      </c>
      <c r="H17" s="127">
        <v>545.3</v>
      </c>
      <c r="I17" s="127">
        <v>369.3</v>
      </c>
      <c r="J17" s="127">
        <v>389.7</v>
      </c>
      <c r="K17" s="127">
        <v>356.1</v>
      </c>
      <c r="L17" s="127">
        <v>394.1</v>
      </c>
      <c r="M17" s="127">
        <v>484</v>
      </c>
      <c r="N17" s="127">
        <v>404.7</v>
      </c>
      <c r="O17" s="127">
        <v>461.6</v>
      </c>
      <c r="P17" s="127">
        <v>516.4</v>
      </c>
      <c r="Q17" s="127">
        <v>729.1</v>
      </c>
      <c r="R17" s="127">
        <v>1102</v>
      </c>
      <c r="S17" s="127">
        <v>1198.6</v>
      </c>
      <c r="T17" s="127"/>
      <c r="U17" s="169">
        <f t="shared" si="27"/>
        <v>7906</v>
      </c>
      <c r="V17" s="134">
        <f t="shared" si="4"/>
        <v>1679.7</v>
      </c>
      <c r="W17" s="134">
        <f t="shared" si="5"/>
        <v>1763.9</v>
      </c>
      <c r="X17" s="134">
        <f t="shared" si="6"/>
        <v>1856.3</v>
      </c>
      <c r="Y17" s="134">
        <f t="shared" si="7"/>
        <v>2606.1</v>
      </c>
      <c r="Z17" s="127">
        <v>643.2</v>
      </c>
      <c r="AA17" s="127">
        <v>531.2</v>
      </c>
      <c r="AB17" s="127">
        <v>505.3</v>
      </c>
      <c r="AC17" s="127">
        <v>521.2</v>
      </c>
      <c r="AD17" s="127">
        <v>584.1</v>
      </c>
      <c r="AE17" s="127">
        <v>658.6</v>
      </c>
      <c r="AF17" s="127">
        <v>566.9</v>
      </c>
      <c r="AG17" s="127">
        <v>614.7</v>
      </c>
      <c r="AH17" s="127">
        <v>674.7</v>
      </c>
      <c r="AI17" s="127">
        <v>808.6</v>
      </c>
      <c r="AJ17" s="127">
        <v>876.6</v>
      </c>
      <c r="AK17" s="127">
        <v>920.9</v>
      </c>
      <c r="AL17" s="127"/>
      <c r="AM17" s="169">
        <f t="shared" si="8"/>
        <v>8171.3</v>
      </c>
      <c r="AN17" s="127">
        <f t="shared" si="28"/>
        <v>1711.4</v>
      </c>
      <c r="AO17" s="127">
        <f t="shared" si="22"/>
        <v>1974.5</v>
      </c>
      <c r="AP17" s="127">
        <f t="shared" si="23"/>
        <v>2178</v>
      </c>
      <c r="AQ17" s="127">
        <f t="shared" si="24"/>
        <v>2307.4</v>
      </c>
      <c r="AR17" s="127">
        <v>640.2</v>
      </c>
      <c r="AS17" s="127">
        <v>483.8</v>
      </c>
      <c r="AT17" s="127">
        <v>587.4</v>
      </c>
      <c r="AU17" s="127">
        <v>613.6</v>
      </c>
      <c r="AV17" s="127">
        <v>645.2</v>
      </c>
      <c r="AW17" s="127">
        <v>715.7</v>
      </c>
      <c r="AX17" s="127">
        <v>700.4</v>
      </c>
      <c r="AY17" s="127">
        <v>746.8</v>
      </c>
      <c r="AZ17" s="127">
        <v>730.8</v>
      </c>
      <c r="BA17" s="127">
        <v>734.4</v>
      </c>
      <c r="BB17" s="127">
        <v>785.8</v>
      </c>
      <c r="BC17" s="127">
        <v>787.2</v>
      </c>
      <c r="BD17" s="127"/>
      <c r="BE17" s="181">
        <f aca="true" t="shared" si="41" ref="BE17:BE30">SUM(BJ17:BU17)</f>
        <v>9328.8</v>
      </c>
      <c r="BF17" s="127">
        <f t="shared" si="29"/>
        <v>1837.7</v>
      </c>
      <c r="BG17" s="127">
        <f t="shared" si="30"/>
        <v>2153.1</v>
      </c>
      <c r="BH17" s="127">
        <f t="shared" si="31"/>
        <v>2598.9</v>
      </c>
      <c r="BI17" s="127">
        <f t="shared" si="25"/>
        <v>2739.1</v>
      </c>
      <c r="BJ17" s="127">
        <v>590.7</v>
      </c>
      <c r="BK17" s="127">
        <v>580.8</v>
      </c>
      <c r="BL17" s="127">
        <v>666.2</v>
      </c>
      <c r="BM17" s="127">
        <v>696</v>
      </c>
      <c r="BN17" s="127">
        <v>692.1</v>
      </c>
      <c r="BO17" s="127">
        <v>765</v>
      </c>
      <c r="BP17" s="127">
        <v>825.7</v>
      </c>
      <c r="BQ17" s="127">
        <v>990.1</v>
      </c>
      <c r="BR17" s="127">
        <v>783.1</v>
      </c>
      <c r="BS17" s="127">
        <v>833.3</v>
      </c>
      <c r="BT17" s="127">
        <v>941.7</v>
      </c>
      <c r="BU17" s="127">
        <v>964.1</v>
      </c>
      <c r="BW17" s="169">
        <v>10518.3</v>
      </c>
      <c r="BX17" s="123">
        <f t="shared" si="33"/>
        <v>2209.1</v>
      </c>
      <c r="BY17" s="123">
        <f t="shared" si="34"/>
        <v>2479.9</v>
      </c>
      <c r="BZ17" s="123">
        <f t="shared" si="35"/>
        <v>2687.4</v>
      </c>
      <c r="CA17" s="123">
        <f t="shared" si="36"/>
        <v>3141.9</v>
      </c>
      <c r="CB17" s="127">
        <v>725.5</v>
      </c>
      <c r="CC17" s="127">
        <v>683.4</v>
      </c>
      <c r="CD17" s="127">
        <v>800.2</v>
      </c>
      <c r="CE17" s="127">
        <v>803.5</v>
      </c>
      <c r="CF17" s="127">
        <v>841.4</v>
      </c>
      <c r="CG17" s="134">
        <v>835</v>
      </c>
      <c r="CH17" s="127">
        <v>851</v>
      </c>
      <c r="CI17" s="134">
        <v>916.8</v>
      </c>
      <c r="CJ17" s="134">
        <v>919.6</v>
      </c>
      <c r="CK17" s="134">
        <v>955.4</v>
      </c>
      <c r="CL17" s="134">
        <v>1065.4</v>
      </c>
      <c r="CM17" s="134">
        <v>1121.1</v>
      </c>
      <c r="CN17" s="134"/>
      <c r="CO17" s="169">
        <v>13470.6</v>
      </c>
      <c r="CP17" s="134">
        <f t="shared" si="10"/>
        <v>3145</v>
      </c>
      <c r="CQ17" s="134">
        <f aca="true" t="shared" si="42" ref="CQ17:CQ32">CW17+CX17+CY17</f>
        <v>3206.7</v>
      </c>
      <c r="CR17" s="134">
        <f t="shared" si="37"/>
        <v>3390.9</v>
      </c>
      <c r="CS17" s="134">
        <f t="shared" si="11"/>
        <v>3728</v>
      </c>
      <c r="CT17" s="127">
        <v>940</v>
      </c>
      <c r="CU17" s="127">
        <v>917.8</v>
      </c>
      <c r="CV17" s="137">
        <v>1287.2</v>
      </c>
      <c r="CW17" s="134">
        <v>1107.9</v>
      </c>
      <c r="CX17" s="134">
        <v>1044.9</v>
      </c>
      <c r="CY17" s="134">
        <v>1053.9</v>
      </c>
      <c r="CZ17" s="134">
        <v>1140.5</v>
      </c>
      <c r="DA17" s="127">
        <v>1062.7</v>
      </c>
      <c r="DB17" s="127">
        <v>1187.7</v>
      </c>
      <c r="DC17" s="134">
        <v>1207.1</v>
      </c>
      <c r="DD17" s="134">
        <v>1189.1</v>
      </c>
      <c r="DE17" s="127">
        <v>1331.8</v>
      </c>
      <c r="DF17" s="127"/>
      <c r="DG17" s="181">
        <v>15330.4</v>
      </c>
      <c r="DH17" s="134">
        <f t="shared" si="12"/>
        <v>2950.5</v>
      </c>
      <c r="DI17" s="134">
        <f t="shared" si="13"/>
        <v>3831.5</v>
      </c>
      <c r="DJ17" s="134">
        <f t="shared" si="38"/>
        <v>4016.4</v>
      </c>
      <c r="DK17" s="134">
        <f t="shared" si="14"/>
        <v>4532</v>
      </c>
      <c r="DL17" s="127">
        <v>858.1</v>
      </c>
      <c r="DM17" s="127">
        <v>913.1</v>
      </c>
      <c r="DN17" s="127">
        <v>1179.3</v>
      </c>
      <c r="DO17" s="127">
        <v>1259.6</v>
      </c>
      <c r="DP17" s="127">
        <v>1292.7</v>
      </c>
      <c r="DQ17" s="135">
        <v>1279.2</v>
      </c>
      <c r="DR17" s="134">
        <v>1334</v>
      </c>
      <c r="DS17" s="134">
        <v>1313</v>
      </c>
      <c r="DT17" s="127">
        <v>1369.4</v>
      </c>
      <c r="DU17" s="158">
        <v>1399.4</v>
      </c>
      <c r="DV17" s="192">
        <v>1646.1</v>
      </c>
      <c r="DW17" s="134">
        <v>1486.5</v>
      </c>
      <c r="DX17" s="134"/>
      <c r="DY17" s="169">
        <v>17158.6</v>
      </c>
      <c r="DZ17" s="134">
        <f t="shared" si="15"/>
        <v>3597.1</v>
      </c>
      <c r="EA17" s="134">
        <f t="shared" si="39"/>
        <v>3945.3</v>
      </c>
      <c r="EB17" s="134">
        <f t="shared" si="16"/>
        <v>4526.4</v>
      </c>
      <c r="EC17" s="134">
        <f t="shared" si="17"/>
        <v>5089.9</v>
      </c>
      <c r="ED17" s="186">
        <v>1130.5</v>
      </c>
      <c r="EE17" s="186">
        <v>1120.6</v>
      </c>
      <c r="EF17" s="186">
        <v>1346</v>
      </c>
      <c r="EG17" s="267">
        <v>1241.7</v>
      </c>
      <c r="EH17" s="186">
        <v>1322.5</v>
      </c>
      <c r="EI17" s="186">
        <v>1381.1</v>
      </c>
      <c r="EJ17" s="268">
        <v>1376.9</v>
      </c>
      <c r="EK17" s="186">
        <v>1543.6</v>
      </c>
      <c r="EL17" s="186">
        <v>1605.9</v>
      </c>
      <c r="EM17" s="135">
        <v>1609.9</v>
      </c>
      <c r="EN17" s="186">
        <v>1730.3</v>
      </c>
      <c r="EO17" s="135">
        <v>1749.7</v>
      </c>
      <c r="EP17" s="134"/>
      <c r="EQ17" s="247">
        <v>19035.2</v>
      </c>
      <c r="ER17" s="127">
        <v>3974.2</v>
      </c>
      <c r="ES17" s="127">
        <v>4838.5</v>
      </c>
      <c r="ET17" s="127">
        <v>5077.6</v>
      </c>
      <c r="EU17" s="127">
        <v>5144.9</v>
      </c>
      <c r="EV17" s="134">
        <v>1167.4</v>
      </c>
      <c r="EW17" s="18">
        <v>1240.2</v>
      </c>
      <c r="EX17" s="18">
        <v>1566.6</v>
      </c>
      <c r="EY17" s="134">
        <v>1605.5</v>
      </c>
      <c r="EZ17" s="192">
        <v>1604.7</v>
      </c>
      <c r="FA17" s="192">
        <v>1628.3</v>
      </c>
      <c r="FB17" s="192">
        <v>1519.9</v>
      </c>
      <c r="FC17" s="18">
        <v>1791.9</v>
      </c>
      <c r="FD17" s="192">
        <v>1765.8</v>
      </c>
      <c r="FE17" s="192">
        <v>1667.3</v>
      </c>
      <c r="FF17" s="192">
        <v>1782.4</v>
      </c>
      <c r="FG17" s="192">
        <v>1695.2</v>
      </c>
      <c r="FH17" s="192"/>
      <c r="FI17" s="269">
        <v>21104.9</v>
      </c>
      <c r="FJ17" s="192">
        <v>4162.1</v>
      </c>
      <c r="FK17" s="18">
        <v>5248.7</v>
      </c>
      <c r="FL17" s="18">
        <v>5711.6</v>
      </c>
      <c r="FM17" s="18">
        <v>5982.5</v>
      </c>
      <c r="FN17" s="18">
        <v>1300.2</v>
      </c>
      <c r="FO17" s="18">
        <v>1406.4</v>
      </c>
      <c r="FP17" s="18">
        <v>1455.5</v>
      </c>
      <c r="FQ17" s="242">
        <v>1575.5</v>
      </c>
      <c r="FR17" s="242">
        <v>1757.5</v>
      </c>
      <c r="FS17" s="18">
        <v>1915.7</v>
      </c>
      <c r="FT17" s="242">
        <v>1820.4</v>
      </c>
      <c r="FU17" s="242">
        <v>1962.3</v>
      </c>
      <c r="FV17" s="242">
        <v>1928.9</v>
      </c>
      <c r="FW17" s="242">
        <v>2021.3</v>
      </c>
      <c r="FX17" s="242">
        <v>2070</v>
      </c>
      <c r="FY17" s="242">
        <v>1891.2</v>
      </c>
      <c r="FZ17" s="242">
        <v>22332.7</v>
      </c>
      <c r="GA17" s="272">
        <f t="shared" si="18"/>
        <v>4311.7</v>
      </c>
      <c r="GB17" s="272">
        <f t="shared" si="19"/>
        <v>4909.9</v>
      </c>
      <c r="GC17" s="272">
        <f t="shared" si="20"/>
        <v>5774.4</v>
      </c>
      <c r="GD17" s="272">
        <f t="shared" si="21"/>
        <v>7336.7</v>
      </c>
      <c r="GE17" s="18">
        <v>1253.2</v>
      </c>
      <c r="GF17" s="18">
        <v>1411.1</v>
      </c>
      <c r="GG17" s="18">
        <v>1647.4</v>
      </c>
      <c r="GH17" s="242">
        <v>1529.9</v>
      </c>
      <c r="GI17" s="242">
        <v>1649.6</v>
      </c>
      <c r="GJ17" s="242">
        <v>1730.4</v>
      </c>
      <c r="GK17" s="242">
        <v>1943.7</v>
      </c>
      <c r="GL17" s="242">
        <v>1931.7</v>
      </c>
      <c r="GM17" s="242">
        <v>1899</v>
      </c>
      <c r="GN17" s="242">
        <v>2121</v>
      </c>
      <c r="GO17" s="18">
        <v>2450.5</v>
      </c>
      <c r="GP17" s="242">
        <v>2765.2</v>
      </c>
      <c r="GQ17" s="193"/>
    </row>
    <row r="18" spans="1:199" ht="12">
      <c r="A18" s="108" t="s">
        <v>38</v>
      </c>
      <c r="B18" s="154" t="s">
        <v>65</v>
      </c>
      <c r="C18" s="181">
        <f t="shared" si="0"/>
        <v>1192.9</v>
      </c>
      <c r="D18" s="127">
        <f t="shared" si="26"/>
        <v>317.5</v>
      </c>
      <c r="E18" s="127">
        <f t="shared" si="1"/>
        <v>154.4</v>
      </c>
      <c r="F18" s="127">
        <f t="shared" si="2"/>
        <v>320.3</v>
      </c>
      <c r="G18" s="127">
        <f t="shared" si="3"/>
        <v>400.7</v>
      </c>
      <c r="H18" s="127">
        <v>129.2</v>
      </c>
      <c r="I18" s="127">
        <v>108.3</v>
      </c>
      <c r="J18" s="127">
        <v>80</v>
      </c>
      <c r="K18" s="127">
        <v>53.2</v>
      </c>
      <c r="L18" s="127">
        <v>40.7</v>
      </c>
      <c r="M18" s="127">
        <v>60.5</v>
      </c>
      <c r="N18" s="127">
        <v>59.6</v>
      </c>
      <c r="O18" s="127">
        <v>126.1</v>
      </c>
      <c r="P18" s="127">
        <v>134.6</v>
      </c>
      <c r="Q18" s="127">
        <v>121.9</v>
      </c>
      <c r="R18" s="127">
        <v>140.5</v>
      </c>
      <c r="S18" s="127">
        <v>138.3</v>
      </c>
      <c r="T18" s="127"/>
      <c r="U18" s="169">
        <f t="shared" si="27"/>
        <v>2491.1</v>
      </c>
      <c r="V18" s="134">
        <f t="shared" si="4"/>
        <v>629.1</v>
      </c>
      <c r="W18" s="134">
        <f t="shared" si="5"/>
        <v>436.2</v>
      </c>
      <c r="X18" s="134">
        <f t="shared" si="6"/>
        <v>539.2</v>
      </c>
      <c r="Y18" s="134">
        <f t="shared" si="7"/>
        <v>886.6</v>
      </c>
      <c r="Z18" s="127">
        <v>273.6</v>
      </c>
      <c r="AA18" s="127">
        <v>185.5</v>
      </c>
      <c r="AB18" s="127">
        <v>170</v>
      </c>
      <c r="AC18" s="127">
        <v>149</v>
      </c>
      <c r="AD18" s="127">
        <v>152.4</v>
      </c>
      <c r="AE18" s="127">
        <v>134.8</v>
      </c>
      <c r="AF18" s="127">
        <v>167</v>
      </c>
      <c r="AG18" s="127">
        <v>170.8</v>
      </c>
      <c r="AH18" s="127">
        <v>201.4</v>
      </c>
      <c r="AI18" s="127">
        <v>272.1</v>
      </c>
      <c r="AJ18" s="127">
        <v>300</v>
      </c>
      <c r="AK18" s="127">
        <v>314.5</v>
      </c>
      <c r="AL18" s="127"/>
      <c r="AM18" s="169">
        <f t="shared" si="8"/>
        <v>2261.8</v>
      </c>
      <c r="AN18" s="127">
        <f t="shared" si="28"/>
        <v>498.8</v>
      </c>
      <c r="AO18" s="127">
        <f t="shared" si="22"/>
        <v>381.9</v>
      </c>
      <c r="AP18" s="127">
        <f t="shared" si="23"/>
        <v>553.9</v>
      </c>
      <c r="AQ18" s="127">
        <f t="shared" si="24"/>
        <v>827.2</v>
      </c>
      <c r="AR18" s="127">
        <v>188.5</v>
      </c>
      <c r="AS18" s="127">
        <v>169.1</v>
      </c>
      <c r="AT18" s="127">
        <v>141.2</v>
      </c>
      <c r="AU18" s="127">
        <v>133</v>
      </c>
      <c r="AV18" s="127">
        <v>117</v>
      </c>
      <c r="AW18" s="127">
        <v>131.9</v>
      </c>
      <c r="AX18" s="127">
        <v>186.9</v>
      </c>
      <c r="AY18" s="127">
        <v>166.6</v>
      </c>
      <c r="AZ18" s="127">
        <v>200.4</v>
      </c>
      <c r="BA18" s="127">
        <v>250.9</v>
      </c>
      <c r="BB18" s="127">
        <v>241.1</v>
      </c>
      <c r="BC18" s="127">
        <v>335.2</v>
      </c>
      <c r="BD18" s="127"/>
      <c r="BE18" s="181">
        <f t="shared" si="41"/>
        <v>4641.7</v>
      </c>
      <c r="BF18" s="127">
        <f t="shared" si="29"/>
        <v>1035</v>
      </c>
      <c r="BG18" s="127">
        <f t="shared" si="30"/>
        <v>1152.5</v>
      </c>
      <c r="BH18" s="127">
        <f t="shared" si="31"/>
        <v>1099.8</v>
      </c>
      <c r="BI18" s="127">
        <f t="shared" si="25"/>
        <v>1354.4</v>
      </c>
      <c r="BJ18" s="127">
        <v>325.2</v>
      </c>
      <c r="BK18" s="127">
        <v>335.9</v>
      </c>
      <c r="BL18" s="127">
        <v>373.9</v>
      </c>
      <c r="BM18" s="127">
        <v>316</v>
      </c>
      <c r="BN18" s="127">
        <v>387.5</v>
      </c>
      <c r="BO18" s="127">
        <v>449</v>
      </c>
      <c r="BP18" s="127">
        <v>380.5</v>
      </c>
      <c r="BQ18" s="127">
        <v>363.9</v>
      </c>
      <c r="BR18" s="127">
        <v>355.4</v>
      </c>
      <c r="BS18" s="127">
        <v>439.8</v>
      </c>
      <c r="BT18" s="127">
        <v>486.3</v>
      </c>
      <c r="BU18" s="127">
        <v>428.3</v>
      </c>
      <c r="BW18" s="169">
        <v>4194.3</v>
      </c>
      <c r="BX18" s="123">
        <f t="shared" si="33"/>
        <v>357.1</v>
      </c>
      <c r="BY18" s="123">
        <f t="shared" si="34"/>
        <v>594.7</v>
      </c>
      <c r="BZ18" s="123">
        <f t="shared" si="35"/>
        <v>591.2</v>
      </c>
      <c r="CA18" s="123">
        <f t="shared" si="36"/>
        <v>2651.3</v>
      </c>
      <c r="CB18" s="127">
        <v>133.6</v>
      </c>
      <c r="CC18" s="127">
        <v>147.6</v>
      </c>
      <c r="CD18" s="127">
        <v>75.9</v>
      </c>
      <c r="CE18" s="127">
        <v>132.8</v>
      </c>
      <c r="CF18" s="127">
        <v>156.9</v>
      </c>
      <c r="CG18" s="134">
        <v>305</v>
      </c>
      <c r="CH18" s="127">
        <v>250</v>
      </c>
      <c r="CI18" s="134">
        <v>179.3</v>
      </c>
      <c r="CJ18" s="134">
        <v>161.9</v>
      </c>
      <c r="CK18" s="134">
        <v>261.6</v>
      </c>
      <c r="CL18" s="134">
        <v>1708.5</v>
      </c>
      <c r="CM18" s="134">
        <v>681.2</v>
      </c>
      <c r="CN18" s="134"/>
      <c r="CO18" s="169">
        <v>5837.5</v>
      </c>
      <c r="CP18" s="134">
        <f t="shared" si="10"/>
        <v>1175.1</v>
      </c>
      <c r="CQ18" s="134">
        <f t="shared" si="42"/>
        <v>1950.4</v>
      </c>
      <c r="CR18" s="134">
        <f t="shared" si="37"/>
        <v>1354.7</v>
      </c>
      <c r="CS18" s="134">
        <f t="shared" si="11"/>
        <v>1357.3</v>
      </c>
      <c r="CT18" s="127">
        <v>196.5</v>
      </c>
      <c r="CU18" s="127">
        <v>486.4</v>
      </c>
      <c r="CV18" s="137">
        <v>492.2</v>
      </c>
      <c r="CW18" s="134">
        <v>578</v>
      </c>
      <c r="CX18" s="134">
        <v>685.4</v>
      </c>
      <c r="CY18" s="134">
        <v>687</v>
      </c>
      <c r="CZ18" s="134">
        <v>451.4</v>
      </c>
      <c r="DA18" s="127">
        <v>490.3</v>
      </c>
      <c r="DB18" s="127">
        <v>413</v>
      </c>
      <c r="DC18" s="134">
        <v>435.7</v>
      </c>
      <c r="DD18" s="134">
        <v>463.4</v>
      </c>
      <c r="DE18" s="127">
        <v>458.2</v>
      </c>
      <c r="DF18" s="127"/>
      <c r="DG18" s="181">
        <v>4518.8</v>
      </c>
      <c r="DH18" s="134">
        <f t="shared" si="12"/>
        <v>631.4</v>
      </c>
      <c r="DI18" s="134">
        <f t="shared" si="13"/>
        <v>1402.7</v>
      </c>
      <c r="DJ18" s="134">
        <f t="shared" si="38"/>
        <v>1176.5</v>
      </c>
      <c r="DK18" s="134">
        <f t="shared" si="14"/>
        <v>1308.2</v>
      </c>
      <c r="DL18" s="127">
        <v>149.5</v>
      </c>
      <c r="DM18" s="127">
        <v>204</v>
      </c>
      <c r="DN18" s="127">
        <v>277.9</v>
      </c>
      <c r="DO18" s="127">
        <v>415.2</v>
      </c>
      <c r="DP18" s="127">
        <v>445.3</v>
      </c>
      <c r="DQ18" s="135">
        <v>542.2</v>
      </c>
      <c r="DR18" s="134">
        <v>361.2</v>
      </c>
      <c r="DS18" s="134">
        <v>425.2</v>
      </c>
      <c r="DT18" s="127">
        <v>390.1</v>
      </c>
      <c r="DU18" s="158">
        <v>414.9</v>
      </c>
      <c r="DV18" s="192">
        <v>454.9</v>
      </c>
      <c r="DW18" s="134">
        <v>438.4</v>
      </c>
      <c r="DX18" s="134"/>
      <c r="DY18" s="169">
        <v>6508.7</v>
      </c>
      <c r="DZ18" s="134">
        <f t="shared" si="15"/>
        <v>1071.1</v>
      </c>
      <c r="EA18" s="134">
        <f t="shared" si="39"/>
        <v>1929.5</v>
      </c>
      <c r="EB18" s="134">
        <f t="shared" si="16"/>
        <v>1691.9</v>
      </c>
      <c r="EC18" s="134">
        <f t="shared" si="17"/>
        <v>1816.2</v>
      </c>
      <c r="ED18" s="18">
        <v>250.5</v>
      </c>
      <c r="EE18" s="19">
        <v>365.6</v>
      </c>
      <c r="EF18" s="18">
        <v>455</v>
      </c>
      <c r="EG18" s="18">
        <v>530.5</v>
      </c>
      <c r="EH18" s="18">
        <v>721.3</v>
      </c>
      <c r="EI18" s="18">
        <v>677.7</v>
      </c>
      <c r="EJ18" s="18">
        <v>587.4</v>
      </c>
      <c r="EK18" s="18">
        <v>539.4</v>
      </c>
      <c r="EL18" s="18">
        <v>565.1</v>
      </c>
      <c r="EM18" s="134">
        <v>508.9</v>
      </c>
      <c r="EN18" s="18">
        <v>691.9</v>
      </c>
      <c r="EO18" s="134">
        <v>615.4</v>
      </c>
      <c r="EP18" s="134"/>
      <c r="EQ18" s="247">
        <v>7594.4</v>
      </c>
      <c r="ER18" s="127">
        <v>1321.5</v>
      </c>
      <c r="ES18" s="127">
        <v>2376</v>
      </c>
      <c r="ET18" s="127">
        <v>1942.3</v>
      </c>
      <c r="EU18" s="127">
        <v>1954.6</v>
      </c>
      <c r="EV18" s="134">
        <v>279.5</v>
      </c>
      <c r="EW18" s="18">
        <v>522.8</v>
      </c>
      <c r="EX18" s="18">
        <v>519.2</v>
      </c>
      <c r="EY18" s="134">
        <v>677.4</v>
      </c>
      <c r="EZ18" s="192">
        <v>780.3</v>
      </c>
      <c r="FA18" s="192">
        <v>918.3</v>
      </c>
      <c r="FB18" s="192">
        <v>597.1</v>
      </c>
      <c r="FC18" s="158">
        <v>660.2</v>
      </c>
      <c r="FD18" s="192">
        <v>685</v>
      </c>
      <c r="FE18" s="192">
        <v>687.8</v>
      </c>
      <c r="FF18" s="192">
        <v>606.4</v>
      </c>
      <c r="FG18" s="192">
        <v>660.4</v>
      </c>
      <c r="FH18" s="192"/>
      <c r="FI18" s="269">
        <v>9482.9</v>
      </c>
      <c r="FJ18" s="192">
        <v>1223.1</v>
      </c>
      <c r="FK18" s="18">
        <v>2036.3</v>
      </c>
      <c r="FL18" s="18">
        <v>3742</v>
      </c>
      <c r="FM18" s="18">
        <v>2481.5</v>
      </c>
      <c r="FN18" s="18">
        <v>278.2</v>
      </c>
      <c r="FO18" s="18">
        <v>440.1</v>
      </c>
      <c r="FP18" s="18">
        <v>504.8</v>
      </c>
      <c r="FQ18" s="242">
        <v>612.3</v>
      </c>
      <c r="FR18" s="242">
        <v>611.3</v>
      </c>
      <c r="FS18" s="18">
        <v>812.7</v>
      </c>
      <c r="FT18" s="242">
        <v>654.1</v>
      </c>
      <c r="FU18" s="242">
        <v>1351.9</v>
      </c>
      <c r="FV18" s="242">
        <v>1736</v>
      </c>
      <c r="FW18" s="242">
        <v>1206.5</v>
      </c>
      <c r="FX18" s="242">
        <v>822</v>
      </c>
      <c r="FY18" s="242">
        <v>453</v>
      </c>
      <c r="FZ18" s="242">
        <v>8300.8</v>
      </c>
      <c r="GA18" s="272">
        <f t="shared" si="18"/>
        <v>1215.8</v>
      </c>
      <c r="GB18" s="272">
        <f t="shared" si="19"/>
        <v>1692.9</v>
      </c>
      <c r="GC18" s="272">
        <f t="shared" si="20"/>
        <v>3342.6</v>
      </c>
      <c r="GD18" s="272">
        <f t="shared" si="21"/>
        <v>2049.5</v>
      </c>
      <c r="GE18" s="19">
        <v>262.8</v>
      </c>
      <c r="GF18" s="19">
        <v>465</v>
      </c>
      <c r="GG18" s="19">
        <v>488</v>
      </c>
      <c r="GH18" s="272">
        <v>581.1</v>
      </c>
      <c r="GI18" s="272">
        <v>507.8</v>
      </c>
      <c r="GJ18" s="272">
        <v>604</v>
      </c>
      <c r="GK18" s="272">
        <v>902</v>
      </c>
      <c r="GL18" s="272">
        <v>986.9</v>
      </c>
      <c r="GM18" s="272">
        <v>1453.7</v>
      </c>
      <c r="GN18" s="272">
        <v>863.1</v>
      </c>
      <c r="GO18" s="19">
        <v>649.5</v>
      </c>
      <c r="GP18" s="272">
        <v>536.9</v>
      </c>
      <c r="GQ18" s="193"/>
    </row>
    <row r="19" spans="1:199" ht="12.75" customHeight="1">
      <c r="A19" s="108" t="s">
        <v>52</v>
      </c>
      <c r="B19" s="154" t="s">
        <v>66</v>
      </c>
      <c r="C19" s="181">
        <f t="shared" si="0"/>
        <v>113.9</v>
      </c>
      <c r="D19" s="127">
        <f t="shared" si="26"/>
        <v>17.6</v>
      </c>
      <c r="E19" s="127">
        <f t="shared" si="1"/>
        <v>24.7</v>
      </c>
      <c r="F19" s="127">
        <f t="shared" si="2"/>
        <v>31.1</v>
      </c>
      <c r="G19" s="127">
        <f t="shared" si="3"/>
        <v>40.5</v>
      </c>
      <c r="H19" s="127">
        <v>6</v>
      </c>
      <c r="I19" s="127">
        <v>5.2</v>
      </c>
      <c r="J19" s="127">
        <v>6.4</v>
      </c>
      <c r="K19" s="127">
        <v>6.8</v>
      </c>
      <c r="L19" s="127">
        <v>7.9</v>
      </c>
      <c r="M19" s="127">
        <v>10</v>
      </c>
      <c r="N19" s="127">
        <v>12</v>
      </c>
      <c r="O19" s="127">
        <v>8.6</v>
      </c>
      <c r="P19" s="127">
        <v>10.5</v>
      </c>
      <c r="Q19" s="127">
        <v>14.6</v>
      </c>
      <c r="R19" s="127">
        <v>15.7</v>
      </c>
      <c r="S19" s="127">
        <v>10.2</v>
      </c>
      <c r="T19" s="127"/>
      <c r="U19" s="169">
        <f t="shared" si="27"/>
        <v>89.1</v>
      </c>
      <c r="V19" s="134">
        <f t="shared" si="4"/>
        <v>18.5</v>
      </c>
      <c r="W19" s="134">
        <f t="shared" si="5"/>
        <v>24.5</v>
      </c>
      <c r="X19" s="134">
        <f t="shared" si="6"/>
        <v>26.9</v>
      </c>
      <c r="Y19" s="134">
        <f t="shared" si="7"/>
        <v>19.2</v>
      </c>
      <c r="Z19" s="127">
        <v>5.8</v>
      </c>
      <c r="AA19" s="127">
        <v>6.2</v>
      </c>
      <c r="AB19" s="127">
        <v>6.5</v>
      </c>
      <c r="AC19" s="127">
        <v>11.7</v>
      </c>
      <c r="AD19" s="127">
        <v>7.1</v>
      </c>
      <c r="AE19" s="127">
        <v>5.7</v>
      </c>
      <c r="AF19" s="127">
        <v>10.1</v>
      </c>
      <c r="AG19" s="127">
        <v>11.3</v>
      </c>
      <c r="AH19" s="127">
        <v>5.5</v>
      </c>
      <c r="AI19" s="127">
        <v>7.2</v>
      </c>
      <c r="AJ19" s="127">
        <v>4.5</v>
      </c>
      <c r="AK19" s="127">
        <v>7.5</v>
      </c>
      <c r="AL19" s="127"/>
      <c r="AM19" s="169">
        <f t="shared" si="8"/>
        <v>75.3</v>
      </c>
      <c r="AN19" s="127">
        <f t="shared" si="28"/>
        <v>7.1</v>
      </c>
      <c r="AO19" s="127">
        <f t="shared" si="22"/>
        <v>24.5</v>
      </c>
      <c r="AP19" s="127">
        <f t="shared" si="23"/>
        <v>18.2</v>
      </c>
      <c r="AQ19" s="127">
        <f t="shared" si="24"/>
        <v>25.5</v>
      </c>
      <c r="AR19" s="127">
        <v>2.3</v>
      </c>
      <c r="AS19" s="127">
        <v>2.5</v>
      </c>
      <c r="AT19" s="127">
        <v>2.3</v>
      </c>
      <c r="AU19" s="130">
        <v>3.6</v>
      </c>
      <c r="AV19" s="130">
        <v>10.3</v>
      </c>
      <c r="AW19" s="130">
        <v>10.6</v>
      </c>
      <c r="AX19" s="130">
        <v>7.2</v>
      </c>
      <c r="AY19" s="127">
        <v>4.8</v>
      </c>
      <c r="AZ19" s="127">
        <v>6.2</v>
      </c>
      <c r="BA19" s="127">
        <v>5.9</v>
      </c>
      <c r="BB19" s="127">
        <v>9.4</v>
      </c>
      <c r="BC19" s="127">
        <v>10.2</v>
      </c>
      <c r="BD19" s="127"/>
      <c r="BE19" s="181">
        <f t="shared" si="41"/>
        <v>100.9</v>
      </c>
      <c r="BF19" s="127">
        <f t="shared" si="29"/>
        <v>34.2</v>
      </c>
      <c r="BG19" s="127">
        <f t="shared" si="30"/>
        <v>24.4</v>
      </c>
      <c r="BH19" s="127">
        <f t="shared" si="31"/>
        <v>11.4</v>
      </c>
      <c r="BI19" s="127">
        <f t="shared" si="25"/>
        <v>30.9</v>
      </c>
      <c r="BJ19" s="127">
        <v>7.2</v>
      </c>
      <c r="BK19" s="127">
        <v>11</v>
      </c>
      <c r="BL19" s="127">
        <v>16</v>
      </c>
      <c r="BM19" s="127">
        <v>7.5</v>
      </c>
      <c r="BN19" s="127">
        <v>8</v>
      </c>
      <c r="BO19" s="127">
        <v>8.9</v>
      </c>
      <c r="BP19" s="127">
        <v>3.8</v>
      </c>
      <c r="BQ19" s="127">
        <v>5.2</v>
      </c>
      <c r="BR19" s="127">
        <v>2.4</v>
      </c>
      <c r="BS19" s="127">
        <v>6.3</v>
      </c>
      <c r="BT19" s="127">
        <v>12.9</v>
      </c>
      <c r="BU19" s="127">
        <v>11.7</v>
      </c>
      <c r="BW19" s="169">
        <v>124.8</v>
      </c>
      <c r="BX19" s="123">
        <f t="shared" si="33"/>
        <v>14.8</v>
      </c>
      <c r="BY19" s="123">
        <f t="shared" si="34"/>
        <v>34.9</v>
      </c>
      <c r="BZ19" s="123">
        <f t="shared" si="35"/>
        <v>33.3</v>
      </c>
      <c r="CA19" s="123">
        <f t="shared" si="36"/>
        <v>41.8</v>
      </c>
      <c r="CB19" s="127">
        <v>2</v>
      </c>
      <c r="CC19" s="127">
        <v>6.4</v>
      </c>
      <c r="CD19" s="127">
        <v>6.4</v>
      </c>
      <c r="CE19" s="127">
        <v>4.7</v>
      </c>
      <c r="CF19" s="127">
        <v>11.2</v>
      </c>
      <c r="CG19" s="134">
        <v>19</v>
      </c>
      <c r="CH19" s="127">
        <v>10.1</v>
      </c>
      <c r="CI19" s="134">
        <v>10.6</v>
      </c>
      <c r="CJ19" s="134">
        <v>12.6</v>
      </c>
      <c r="CK19" s="134">
        <v>16.4</v>
      </c>
      <c r="CL19" s="134">
        <v>5.8</v>
      </c>
      <c r="CM19" s="134">
        <v>19.6</v>
      </c>
      <c r="CN19" s="134"/>
      <c r="CO19" s="169">
        <v>184.8</v>
      </c>
      <c r="CP19" s="134">
        <f t="shared" si="10"/>
        <v>36.1</v>
      </c>
      <c r="CQ19" s="134">
        <f t="shared" si="42"/>
        <v>21.6</v>
      </c>
      <c r="CR19" s="134">
        <f t="shared" si="37"/>
        <v>38.7</v>
      </c>
      <c r="CS19" s="134">
        <f t="shared" si="11"/>
        <v>88.4</v>
      </c>
      <c r="CT19" s="127">
        <v>11.8</v>
      </c>
      <c r="CU19" s="127">
        <v>16.3</v>
      </c>
      <c r="CV19" s="137">
        <v>8</v>
      </c>
      <c r="CW19" s="134">
        <v>8.6</v>
      </c>
      <c r="CX19" s="134">
        <v>6.7</v>
      </c>
      <c r="CY19" s="134">
        <v>6.3</v>
      </c>
      <c r="CZ19" s="134">
        <v>5.4</v>
      </c>
      <c r="DA19" s="127">
        <v>16.8</v>
      </c>
      <c r="DB19" s="127">
        <v>16.5</v>
      </c>
      <c r="DC19" s="134">
        <v>30.7</v>
      </c>
      <c r="DD19" s="134">
        <v>32.1</v>
      </c>
      <c r="DE19" s="127">
        <v>25.6</v>
      </c>
      <c r="DF19" s="127"/>
      <c r="DG19" s="181">
        <v>205.9</v>
      </c>
      <c r="DH19" s="134">
        <f t="shared" si="12"/>
        <v>57.7</v>
      </c>
      <c r="DI19" s="134">
        <f t="shared" si="13"/>
        <v>48.3</v>
      </c>
      <c r="DJ19" s="134">
        <f t="shared" si="38"/>
        <v>46.4</v>
      </c>
      <c r="DK19" s="134">
        <f t="shared" si="14"/>
        <v>53.5</v>
      </c>
      <c r="DL19" s="127">
        <v>19.7</v>
      </c>
      <c r="DM19" s="127">
        <v>10.3</v>
      </c>
      <c r="DN19" s="127">
        <v>27.7</v>
      </c>
      <c r="DO19" s="127">
        <v>16.2</v>
      </c>
      <c r="DP19" s="127">
        <v>11.5</v>
      </c>
      <c r="DQ19" s="135">
        <v>20.6</v>
      </c>
      <c r="DR19" s="134">
        <v>15.2</v>
      </c>
      <c r="DS19" s="134">
        <v>16.1</v>
      </c>
      <c r="DT19" s="127">
        <v>15.1</v>
      </c>
      <c r="DU19" s="158">
        <v>13.2</v>
      </c>
      <c r="DV19" s="192">
        <v>13.7</v>
      </c>
      <c r="DW19" s="134">
        <v>26.6</v>
      </c>
      <c r="DX19" s="134"/>
      <c r="DY19" s="169">
        <v>196.6</v>
      </c>
      <c r="DZ19" s="134">
        <f t="shared" si="15"/>
        <v>32.8</v>
      </c>
      <c r="EA19" s="134">
        <f t="shared" si="39"/>
        <v>22.7</v>
      </c>
      <c r="EB19" s="134">
        <f t="shared" si="16"/>
        <v>48</v>
      </c>
      <c r="EC19" s="134">
        <f t="shared" si="17"/>
        <v>93.1</v>
      </c>
      <c r="ED19" s="19">
        <v>16.7</v>
      </c>
      <c r="EE19" s="18">
        <v>8.6</v>
      </c>
      <c r="EF19" s="18">
        <v>7.5</v>
      </c>
      <c r="EG19" s="18">
        <v>6.1</v>
      </c>
      <c r="EH19" s="18">
        <v>6.9</v>
      </c>
      <c r="EI19" s="19">
        <v>9.7</v>
      </c>
      <c r="EJ19" s="18">
        <v>12.6</v>
      </c>
      <c r="EK19" s="18">
        <v>15.5</v>
      </c>
      <c r="EL19" s="18">
        <v>19.9</v>
      </c>
      <c r="EM19" s="134">
        <v>17.8</v>
      </c>
      <c r="EN19" s="18">
        <v>32.7</v>
      </c>
      <c r="EO19" s="134">
        <v>42.6</v>
      </c>
      <c r="EP19" s="134"/>
      <c r="EQ19" s="247">
        <v>185.7</v>
      </c>
      <c r="ER19" s="127">
        <v>39.4</v>
      </c>
      <c r="ES19" s="127">
        <v>31.3</v>
      </c>
      <c r="ET19" s="127">
        <v>60.9</v>
      </c>
      <c r="EU19" s="127">
        <v>54.1</v>
      </c>
      <c r="EV19" s="134">
        <v>9.9</v>
      </c>
      <c r="EW19" s="18">
        <v>17.3</v>
      </c>
      <c r="EX19" s="18">
        <v>12.2</v>
      </c>
      <c r="EY19" s="134">
        <v>14.4</v>
      </c>
      <c r="EZ19" s="192">
        <v>5.6</v>
      </c>
      <c r="FA19" s="192">
        <v>11.3</v>
      </c>
      <c r="FB19" s="192">
        <v>21.6</v>
      </c>
      <c r="FC19" s="18">
        <v>17.2</v>
      </c>
      <c r="FD19" s="192">
        <v>22.1</v>
      </c>
      <c r="FE19" s="192">
        <v>17.3</v>
      </c>
      <c r="FF19" s="192">
        <v>16.9</v>
      </c>
      <c r="FG19" s="192">
        <v>19.9</v>
      </c>
      <c r="FH19" s="192"/>
      <c r="FI19" s="269">
        <v>109.4</v>
      </c>
      <c r="FJ19" s="192">
        <v>38.4</v>
      </c>
      <c r="FK19" s="18">
        <v>25.9</v>
      </c>
      <c r="FL19" s="18">
        <v>30.3</v>
      </c>
      <c r="FM19" s="18">
        <v>14.8</v>
      </c>
      <c r="FN19" s="18">
        <v>9.3</v>
      </c>
      <c r="FO19" s="18">
        <v>11.4</v>
      </c>
      <c r="FP19" s="19">
        <v>17.7</v>
      </c>
      <c r="FQ19" s="242">
        <v>15.2</v>
      </c>
      <c r="FR19" s="242">
        <v>7.4</v>
      </c>
      <c r="FS19" s="18">
        <v>3.3</v>
      </c>
      <c r="FT19" s="242">
        <v>7.5</v>
      </c>
      <c r="FU19" s="242">
        <v>11.2</v>
      </c>
      <c r="FV19" s="242">
        <v>11.6</v>
      </c>
      <c r="FW19" s="242">
        <v>4.5</v>
      </c>
      <c r="FX19" s="242">
        <v>7.3</v>
      </c>
      <c r="FY19" s="242">
        <v>3</v>
      </c>
      <c r="FZ19" s="242">
        <v>245.2</v>
      </c>
      <c r="GA19" s="272">
        <f t="shared" si="18"/>
        <v>30.7</v>
      </c>
      <c r="GB19" s="272">
        <f t="shared" si="19"/>
        <v>60.3</v>
      </c>
      <c r="GC19" s="272">
        <f t="shared" si="20"/>
        <v>82.8</v>
      </c>
      <c r="GD19" s="272">
        <f t="shared" si="21"/>
        <v>71.4</v>
      </c>
      <c r="GE19" s="18">
        <v>8.3</v>
      </c>
      <c r="GF19" s="18">
        <v>9.7</v>
      </c>
      <c r="GG19" s="18">
        <v>12.7</v>
      </c>
      <c r="GH19" s="242">
        <v>21.9</v>
      </c>
      <c r="GI19" s="242">
        <v>11.6</v>
      </c>
      <c r="GJ19" s="242">
        <v>26.8</v>
      </c>
      <c r="GK19" s="242">
        <v>29.3</v>
      </c>
      <c r="GL19" s="242">
        <v>29.4</v>
      </c>
      <c r="GM19" s="242">
        <v>24.1</v>
      </c>
      <c r="GN19" s="242">
        <v>28.2</v>
      </c>
      <c r="GO19" s="18">
        <v>18.9</v>
      </c>
      <c r="GP19" s="242">
        <v>24.3</v>
      </c>
      <c r="GQ19" s="193"/>
    </row>
    <row r="20" spans="1:199" ht="12">
      <c r="A20" s="108" t="s">
        <v>53</v>
      </c>
      <c r="B20" s="154" t="s">
        <v>67</v>
      </c>
      <c r="C20" s="181">
        <f>D20+E20+F20+G20</f>
        <v>68.7</v>
      </c>
      <c r="D20" s="127">
        <f t="shared" si="26"/>
        <v>13.6</v>
      </c>
      <c r="E20" s="127">
        <f t="shared" si="1"/>
        <v>17.7</v>
      </c>
      <c r="F20" s="127">
        <f t="shared" si="2"/>
        <v>18.2</v>
      </c>
      <c r="G20" s="127">
        <f t="shared" si="3"/>
        <v>19.2</v>
      </c>
      <c r="H20" s="127">
        <v>3.9</v>
      </c>
      <c r="I20" s="127">
        <v>4.6</v>
      </c>
      <c r="J20" s="127">
        <v>5.1</v>
      </c>
      <c r="K20" s="127">
        <v>5.2</v>
      </c>
      <c r="L20" s="127">
        <v>6.7</v>
      </c>
      <c r="M20" s="127">
        <v>5.8</v>
      </c>
      <c r="N20" s="127">
        <v>6.5</v>
      </c>
      <c r="O20" s="127">
        <v>6.5</v>
      </c>
      <c r="P20" s="127">
        <v>5.2</v>
      </c>
      <c r="Q20" s="127">
        <v>4.7</v>
      </c>
      <c r="R20" s="127">
        <v>5.6</v>
      </c>
      <c r="S20" s="127">
        <v>8.9</v>
      </c>
      <c r="T20" s="127"/>
      <c r="U20" s="169">
        <f t="shared" si="27"/>
        <v>57.6</v>
      </c>
      <c r="V20" s="134">
        <f t="shared" si="4"/>
        <v>7.5</v>
      </c>
      <c r="W20" s="134">
        <f t="shared" si="5"/>
        <v>13.3</v>
      </c>
      <c r="X20" s="134">
        <f t="shared" si="6"/>
        <v>18.6</v>
      </c>
      <c r="Y20" s="134">
        <f t="shared" si="7"/>
        <v>18.2</v>
      </c>
      <c r="Z20" s="127">
        <v>2.1</v>
      </c>
      <c r="AA20" s="127">
        <v>2.2</v>
      </c>
      <c r="AB20" s="127">
        <v>3.2</v>
      </c>
      <c r="AC20" s="127">
        <v>3.8</v>
      </c>
      <c r="AD20" s="127">
        <v>4.8</v>
      </c>
      <c r="AE20" s="127">
        <v>4.7</v>
      </c>
      <c r="AF20" s="127">
        <v>6.9</v>
      </c>
      <c r="AG20" s="127">
        <v>5.7</v>
      </c>
      <c r="AH20" s="127">
        <v>6</v>
      </c>
      <c r="AI20" s="127">
        <v>7</v>
      </c>
      <c r="AJ20" s="127">
        <v>5</v>
      </c>
      <c r="AK20" s="127">
        <v>6.2</v>
      </c>
      <c r="AL20" s="127"/>
      <c r="AM20" s="169">
        <f t="shared" si="8"/>
        <v>69.4</v>
      </c>
      <c r="AN20" s="127">
        <f t="shared" si="28"/>
        <v>6.9</v>
      </c>
      <c r="AO20" s="127">
        <f t="shared" si="22"/>
        <v>19.3</v>
      </c>
      <c r="AP20" s="127">
        <f t="shared" si="23"/>
        <v>20.8</v>
      </c>
      <c r="AQ20" s="127">
        <f t="shared" si="24"/>
        <v>22.4</v>
      </c>
      <c r="AR20" s="127">
        <v>2.1</v>
      </c>
      <c r="AS20" s="127">
        <v>2.3</v>
      </c>
      <c r="AT20" s="127">
        <v>2.5</v>
      </c>
      <c r="AU20" s="127">
        <v>3.4</v>
      </c>
      <c r="AV20" s="127">
        <v>6.4</v>
      </c>
      <c r="AW20" s="127">
        <v>9.5</v>
      </c>
      <c r="AX20" s="127">
        <v>5.8</v>
      </c>
      <c r="AY20" s="127">
        <v>7.5</v>
      </c>
      <c r="AZ20" s="127">
        <v>7.5</v>
      </c>
      <c r="BA20" s="127">
        <v>7.1</v>
      </c>
      <c r="BB20" s="127">
        <v>6.6</v>
      </c>
      <c r="BC20" s="127">
        <v>8.7</v>
      </c>
      <c r="BD20" s="127"/>
      <c r="BE20" s="181">
        <f t="shared" si="41"/>
        <v>98.5</v>
      </c>
      <c r="BF20" s="127">
        <f t="shared" si="29"/>
        <v>11.5</v>
      </c>
      <c r="BG20" s="127">
        <f t="shared" si="30"/>
        <v>16.3</v>
      </c>
      <c r="BH20" s="127">
        <f t="shared" si="31"/>
        <v>24.9</v>
      </c>
      <c r="BI20" s="127">
        <f t="shared" si="25"/>
        <v>45.8</v>
      </c>
      <c r="BJ20" s="127">
        <v>1.7</v>
      </c>
      <c r="BK20" s="127">
        <v>3.6</v>
      </c>
      <c r="BL20" s="127">
        <v>6.2</v>
      </c>
      <c r="BM20" s="127">
        <v>4.5</v>
      </c>
      <c r="BN20" s="127">
        <v>5.7</v>
      </c>
      <c r="BO20" s="127">
        <v>6.1</v>
      </c>
      <c r="BP20" s="127">
        <v>9.5</v>
      </c>
      <c r="BQ20" s="127">
        <v>6.3</v>
      </c>
      <c r="BR20" s="127">
        <v>9.1</v>
      </c>
      <c r="BS20" s="127">
        <v>14.4</v>
      </c>
      <c r="BT20" s="127">
        <v>15.5</v>
      </c>
      <c r="BU20" s="127">
        <v>15.9</v>
      </c>
      <c r="BW20" s="169">
        <v>134.3</v>
      </c>
      <c r="BX20" s="123">
        <f t="shared" si="33"/>
        <v>39.1</v>
      </c>
      <c r="BY20" s="123">
        <f t="shared" si="34"/>
        <v>29.7</v>
      </c>
      <c r="BZ20" s="123">
        <f t="shared" si="35"/>
        <v>32.8</v>
      </c>
      <c r="CA20" s="123">
        <f t="shared" si="36"/>
        <v>32.7</v>
      </c>
      <c r="CB20" s="127">
        <v>8</v>
      </c>
      <c r="CC20" s="127">
        <v>17.1</v>
      </c>
      <c r="CD20" s="127">
        <v>14</v>
      </c>
      <c r="CE20" s="127">
        <v>12</v>
      </c>
      <c r="CF20" s="127">
        <v>10.1</v>
      </c>
      <c r="CG20" s="134">
        <v>7.6</v>
      </c>
      <c r="CH20" s="127">
        <v>10.8</v>
      </c>
      <c r="CI20" s="134">
        <v>11</v>
      </c>
      <c r="CJ20" s="134">
        <v>11</v>
      </c>
      <c r="CK20" s="134">
        <v>12</v>
      </c>
      <c r="CL20" s="134">
        <v>10.7</v>
      </c>
      <c r="CM20" s="134">
        <v>10</v>
      </c>
      <c r="CN20" s="134"/>
      <c r="CO20" s="169">
        <v>144.2</v>
      </c>
      <c r="CP20" s="134">
        <f t="shared" si="10"/>
        <v>21.9</v>
      </c>
      <c r="CQ20" s="134">
        <f t="shared" si="42"/>
        <v>33.5</v>
      </c>
      <c r="CR20" s="134">
        <f t="shared" si="37"/>
        <v>43</v>
      </c>
      <c r="CS20" s="134">
        <f t="shared" si="11"/>
        <v>45.8</v>
      </c>
      <c r="CT20" s="127">
        <v>5.7</v>
      </c>
      <c r="CU20" s="127">
        <v>6.7</v>
      </c>
      <c r="CV20" s="137">
        <v>9.5</v>
      </c>
      <c r="CW20" s="134">
        <v>9.9</v>
      </c>
      <c r="CX20" s="134">
        <v>11.3</v>
      </c>
      <c r="CY20" s="134">
        <v>12.3</v>
      </c>
      <c r="CZ20" s="134">
        <v>13.1</v>
      </c>
      <c r="DA20" s="127">
        <v>13.2</v>
      </c>
      <c r="DB20" s="127">
        <v>16.7</v>
      </c>
      <c r="DC20" s="134">
        <v>15.2</v>
      </c>
      <c r="DD20" s="134">
        <v>13.8</v>
      </c>
      <c r="DE20" s="127">
        <v>16.8</v>
      </c>
      <c r="DF20" s="127"/>
      <c r="DG20" s="181">
        <v>246.6</v>
      </c>
      <c r="DH20" s="134">
        <f t="shared" si="12"/>
        <v>46.5</v>
      </c>
      <c r="DI20" s="134">
        <f t="shared" si="13"/>
        <v>60</v>
      </c>
      <c r="DJ20" s="134">
        <f t="shared" si="38"/>
        <v>61.7</v>
      </c>
      <c r="DK20" s="134">
        <f t="shared" si="14"/>
        <v>78.4</v>
      </c>
      <c r="DL20" s="127">
        <v>13.3</v>
      </c>
      <c r="DM20" s="127">
        <v>23.9</v>
      </c>
      <c r="DN20" s="127">
        <v>9.3</v>
      </c>
      <c r="DO20" s="127">
        <v>14.7</v>
      </c>
      <c r="DP20" s="127">
        <v>22.2</v>
      </c>
      <c r="DQ20" s="135">
        <v>23.1</v>
      </c>
      <c r="DR20" s="134">
        <v>14.1</v>
      </c>
      <c r="DS20" s="134">
        <v>16.3</v>
      </c>
      <c r="DT20" s="127">
        <v>31.3</v>
      </c>
      <c r="DU20" s="158">
        <v>34.2</v>
      </c>
      <c r="DV20" s="192">
        <v>28.7</v>
      </c>
      <c r="DW20" s="134">
        <v>15.5</v>
      </c>
      <c r="DX20" s="134"/>
      <c r="DY20" s="169">
        <v>244.6</v>
      </c>
      <c r="DZ20" s="134">
        <f t="shared" si="15"/>
        <v>24.7</v>
      </c>
      <c r="EA20" s="134">
        <f t="shared" si="39"/>
        <v>65.8</v>
      </c>
      <c r="EB20" s="134">
        <f t="shared" si="16"/>
        <v>44.2</v>
      </c>
      <c r="EC20" s="134">
        <f t="shared" si="17"/>
        <v>109.9</v>
      </c>
      <c r="ED20" s="18">
        <v>13.8</v>
      </c>
      <c r="EE20" s="18">
        <v>0.9</v>
      </c>
      <c r="EF20" s="18">
        <v>10</v>
      </c>
      <c r="EG20" s="18">
        <v>15.8</v>
      </c>
      <c r="EH20" s="18">
        <v>27.5</v>
      </c>
      <c r="EI20" s="18">
        <v>22.5</v>
      </c>
      <c r="EJ20" s="18">
        <v>30.4</v>
      </c>
      <c r="EK20" s="19">
        <v>5.6</v>
      </c>
      <c r="EL20" s="18">
        <v>8.2</v>
      </c>
      <c r="EM20" s="134">
        <v>36.4</v>
      </c>
      <c r="EN20" s="18">
        <v>41.1</v>
      </c>
      <c r="EO20" s="134">
        <v>32.4</v>
      </c>
      <c r="EP20" s="134"/>
      <c r="EQ20" s="247">
        <v>267.3</v>
      </c>
      <c r="ER20" s="127">
        <v>32.8</v>
      </c>
      <c r="ES20" s="127">
        <v>92</v>
      </c>
      <c r="ET20" s="127">
        <v>75.6</v>
      </c>
      <c r="EU20" s="127">
        <v>66.9</v>
      </c>
      <c r="EV20" s="134">
        <v>4.6</v>
      </c>
      <c r="EW20" s="18">
        <v>6.3</v>
      </c>
      <c r="EX20" s="18">
        <v>21.9</v>
      </c>
      <c r="EY20" s="134">
        <v>30.5</v>
      </c>
      <c r="EZ20" s="192">
        <v>30</v>
      </c>
      <c r="FA20" s="192">
        <v>31.5</v>
      </c>
      <c r="FB20" s="192">
        <v>36.4</v>
      </c>
      <c r="FC20" s="158">
        <v>18.2</v>
      </c>
      <c r="FD20" s="192">
        <v>21</v>
      </c>
      <c r="FE20" s="192">
        <v>18.8</v>
      </c>
      <c r="FF20" s="192">
        <v>24.5</v>
      </c>
      <c r="FG20" s="192">
        <v>23.6</v>
      </c>
      <c r="FH20" s="192"/>
      <c r="FI20" s="269">
        <v>284.8</v>
      </c>
      <c r="FJ20" s="192">
        <v>36.7</v>
      </c>
      <c r="FK20" s="18">
        <v>60</v>
      </c>
      <c r="FL20" s="18">
        <v>97.7</v>
      </c>
      <c r="FM20" s="18">
        <v>90.4</v>
      </c>
      <c r="FN20" s="18">
        <v>4.1</v>
      </c>
      <c r="FO20" s="18">
        <v>10</v>
      </c>
      <c r="FP20" s="18">
        <v>22.6</v>
      </c>
      <c r="FQ20" s="242">
        <v>15.3</v>
      </c>
      <c r="FR20" s="242">
        <v>22.8</v>
      </c>
      <c r="FS20" s="18">
        <v>21.9</v>
      </c>
      <c r="FT20" s="242">
        <v>41.6</v>
      </c>
      <c r="FU20" s="242">
        <v>26</v>
      </c>
      <c r="FV20" s="242">
        <v>30.1</v>
      </c>
      <c r="FW20" s="242">
        <v>32.2</v>
      </c>
      <c r="FX20" s="242">
        <v>30</v>
      </c>
      <c r="FY20" s="242">
        <v>28.2</v>
      </c>
      <c r="FZ20" s="242">
        <v>306.8</v>
      </c>
      <c r="GA20" s="272">
        <f t="shared" si="18"/>
        <v>44.1</v>
      </c>
      <c r="GB20" s="272">
        <f t="shared" si="19"/>
        <v>67.3</v>
      </c>
      <c r="GC20" s="272">
        <f t="shared" si="20"/>
        <v>82.6</v>
      </c>
      <c r="GD20" s="272">
        <f t="shared" si="21"/>
        <v>112.8</v>
      </c>
      <c r="GE20" s="18">
        <v>6.6</v>
      </c>
      <c r="GF20" s="18">
        <v>13.1</v>
      </c>
      <c r="GG20" s="18">
        <v>24.4</v>
      </c>
      <c r="GH20" s="242">
        <v>20.7</v>
      </c>
      <c r="GI20" s="242">
        <v>19.2</v>
      </c>
      <c r="GJ20" s="242">
        <v>27.4</v>
      </c>
      <c r="GK20" s="242">
        <v>33.7</v>
      </c>
      <c r="GL20" s="242">
        <v>23.9</v>
      </c>
      <c r="GM20" s="242">
        <v>25</v>
      </c>
      <c r="GN20" s="242">
        <v>59.6</v>
      </c>
      <c r="GO20" s="18">
        <v>31.6</v>
      </c>
      <c r="GP20" s="242">
        <v>21.6</v>
      </c>
      <c r="GQ20" s="193"/>
    </row>
    <row r="21" spans="1:199" ht="12">
      <c r="A21" s="108" t="s">
        <v>54</v>
      </c>
      <c r="B21" s="154" t="s">
        <v>68</v>
      </c>
      <c r="C21" s="181">
        <f t="shared" si="0"/>
        <v>664.9</v>
      </c>
      <c r="D21" s="127">
        <f t="shared" si="26"/>
        <v>125.9</v>
      </c>
      <c r="E21" s="127">
        <f t="shared" si="1"/>
        <v>177.6</v>
      </c>
      <c r="F21" s="127">
        <f t="shared" si="2"/>
        <v>177.8</v>
      </c>
      <c r="G21" s="127">
        <f t="shared" si="3"/>
        <v>183.6</v>
      </c>
      <c r="H21" s="127">
        <v>35.1</v>
      </c>
      <c r="I21" s="127">
        <v>43</v>
      </c>
      <c r="J21" s="127">
        <v>47.8</v>
      </c>
      <c r="K21" s="127">
        <v>56.3</v>
      </c>
      <c r="L21" s="127">
        <v>61.3</v>
      </c>
      <c r="M21" s="127">
        <v>60</v>
      </c>
      <c r="N21" s="127">
        <v>60</v>
      </c>
      <c r="O21" s="127">
        <v>58.9</v>
      </c>
      <c r="P21" s="127">
        <v>58.9</v>
      </c>
      <c r="Q21" s="127">
        <v>56.9</v>
      </c>
      <c r="R21" s="127">
        <v>65.9</v>
      </c>
      <c r="S21" s="127">
        <v>60.8</v>
      </c>
      <c r="T21" s="127"/>
      <c r="U21" s="169">
        <f t="shared" si="27"/>
        <v>739.5</v>
      </c>
      <c r="V21" s="134">
        <f t="shared" si="4"/>
        <v>161.5</v>
      </c>
      <c r="W21" s="134">
        <f t="shared" si="5"/>
        <v>189</v>
      </c>
      <c r="X21" s="134">
        <f t="shared" si="6"/>
        <v>188.2</v>
      </c>
      <c r="Y21" s="134">
        <f t="shared" si="7"/>
        <v>200.8</v>
      </c>
      <c r="Z21" s="130">
        <v>48.6</v>
      </c>
      <c r="AA21" s="130">
        <v>52.9</v>
      </c>
      <c r="AB21" s="130">
        <v>60</v>
      </c>
      <c r="AC21" s="130">
        <v>58.4</v>
      </c>
      <c r="AD21" s="127">
        <v>67</v>
      </c>
      <c r="AE21" s="127">
        <v>63.6</v>
      </c>
      <c r="AF21" s="127">
        <v>61.9</v>
      </c>
      <c r="AG21" s="130">
        <v>56.8</v>
      </c>
      <c r="AH21" s="130">
        <v>69.5</v>
      </c>
      <c r="AI21" s="130">
        <v>66.1</v>
      </c>
      <c r="AJ21" s="130">
        <v>61.5</v>
      </c>
      <c r="AK21" s="127">
        <v>73.2</v>
      </c>
      <c r="AL21" s="127"/>
      <c r="AM21" s="169">
        <f t="shared" si="8"/>
        <v>741.5</v>
      </c>
      <c r="AN21" s="127">
        <f t="shared" si="28"/>
        <v>177.2</v>
      </c>
      <c r="AO21" s="127">
        <f t="shared" si="22"/>
        <v>188.4</v>
      </c>
      <c r="AP21" s="127">
        <f t="shared" si="23"/>
        <v>172.4</v>
      </c>
      <c r="AQ21" s="127">
        <f t="shared" si="24"/>
        <v>203.5</v>
      </c>
      <c r="AR21" s="127">
        <v>59.4</v>
      </c>
      <c r="AS21" s="127">
        <v>59.3</v>
      </c>
      <c r="AT21" s="127">
        <v>58.5</v>
      </c>
      <c r="AU21" s="127">
        <v>64.8</v>
      </c>
      <c r="AV21" s="127">
        <v>61.2</v>
      </c>
      <c r="AW21" s="127">
        <v>62.4</v>
      </c>
      <c r="AX21" s="127">
        <v>55.2</v>
      </c>
      <c r="AY21" s="127">
        <v>53.8</v>
      </c>
      <c r="AZ21" s="127">
        <v>63.4</v>
      </c>
      <c r="BA21" s="127">
        <v>62.7</v>
      </c>
      <c r="BB21" s="127">
        <v>68</v>
      </c>
      <c r="BC21" s="127">
        <v>72.8</v>
      </c>
      <c r="BD21" s="127"/>
      <c r="BE21" s="181">
        <f t="shared" si="41"/>
        <v>797.4</v>
      </c>
      <c r="BF21" s="127">
        <f t="shared" si="29"/>
        <v>165</v>
      </c>
      <c r="BG21" s="127">
        <f t="shared" si="30"/>
        <v>178.5</v>
      </c>
      <c r="BH21" s="127">
        <f t="shared" si="31"/>
        <v>208.2</v>
      </c>
      <c r="BI21" s="127">
        <f t="shared" si="25"/>
        <v>245.7</v>
      </c>
      <c r="BJ21" s="127">
        <v>58.3</v>
      </c>
      <c r="BK21" s="127">
        <v>48.9</v>
      </c>
      <c r="BL21" s="127">
        <v>57.8</v>
      </c>
      <c r="BM21" s="127">
        <v>54.7</v>
      </c>
      <c r="BN21" s="127">
        <v>58.6</v>
      </c>
      <c r="BO21" s="127">
        <v>65.2</v>
      </c>
      <c r="BP21" s="127">
        <v>66</v>
      </c>
      <c r="BQ21" s="127">
        <v>67.8</v>
      </c>
      <c r="BR21" s="127">
        <v>74.4</v>
      </c>
      <c r="BS21" s="127">
        <v>86.2</v>
      </c>
      <c r="BT21" s="127">
        <v>71.3</v>
      </c>
      <c r="BU21" s="127">
        <v>88.2</v>
      </c>
      <c r="BW21" s="169">
        <v>1037.2</v>
      </c>
      <c r="BX21" s="123">
        <f t="shared" si="33"/>
        <v>228.5</v>
      </c>
      <c r="BY21" s="123">
        <f t="shared" si="34"/>
        <v>231.2</v>
      </c>
      <c r="BZ21" s="123">
        <f t="shared" si="35"/>
        <v>243.9</v>
      </c>
      <c r="CA21" s="123">
        <f t="shared" si="36"/>
        <v>333.6</v>
      </c>
      <c r="CB21" s="127">
        <v>72.4</v>
      </c>
      <c r="CC21" s="127">
        <v>77.3</v>
      </c>
      <c r="CD21" s="127">
        <v>78.8</v>
      </c>
      <c r="CE21" s="127">
        <v>77.5</v>
      </c>
      <c r="CF21" s="127">
        <v>77.5</v>
      </c>
      <c r="CG21" s="134">
        <v>76.2</v>
      </c>
      <c r="CH21" s="127">
        <v>79.4</v>
      </c>
      <c r="CI21" s="134">
        <v>74.9</v>
      </c>
      <c r="CJ21" s="134">
        <v>89.6</v>
      </c>
      <c r="CK21" s="134">
        <v>110.6</v>
      </c>
      <c r="CL21" s="134">
        <v>105.9</v>
      </c>
      <c r="CM21" s="134">
        <v>117.1</v>
      </c>
      <c r="CN21" s="134"/>
      <c r="CO21" s="169">
        <v>1238.9</v>
      </c>
      <c r="CP21" s="134">
        <f t="shared" si="10"/>
        <v>260.1</v>
      </c>
      <c r="CQ21" s="134">
        <f t="shared" si="42"/>
        <v>304.9</v>
      </c>
      <c r="CR21" s="134">
        <f t="shared" si="37"/>
        <v>310.4</v>
      </c>
      <c r="CS21" s="134">
        <f t="shared" si="11"/>
        <v>363.5</v>
      </c>
      <c r="CT21" s="127">
        <v>77.4</v>
      </c>
      <c r="CU21" s="127">
        <v>90</v>
      </c>
      <c r="CV21" s="137">
        <v>92.7</v>
      </c>
      <c r="CW21" s="134">
        <v>107.1</v>
      </c>
      <c r="CX21" s="134">
        <v>102.8</v>
      </c>
      <c r="CY21" s="134">
        <v>95</v>
      </c>
      <c r="CZ21" s="134">
        <v>95.9</v>
      </c>
      <c r="DA21" s="127">
        <v>108.3</v>
      </c>
      <c r="DB21" s="127">
        <v>106.2</v>
      </c>
      <c r="DC21" s="134">
        <v>93.1</v>
      </c>
      <c r="DD21" s="134">
        <v>154.3</v>
      </c>
      <c r="DE21" s="127">
        <v>116.1</v>
      </c>
      <c r="DF21" s="127"/>
      <c r="DG21" s="181">
        <v>1228.2</v>
      </c>
      <c r="DH21" s="134">
        <f t="shared" si="12"/>
        <v>251.1</v>
      </c>
      <c r="DI21" s="134">
        <f t="shared" si="13"/>
        <v>302.2</v>
      </c>
      <c r="DJ21" s="134">
        <f t="shared" si="38"/>
        <v>338.5</v>
      </c>
      <c r="DK21" s="134">
        <f t="shared" si="14"/>
        <v>336.4</v>
      </c>
      <c r="DL21" s="127">
        <v>85.6</v>
      </c>
      <c r="DM21" s="127">
        <v>73.5</v>
      </c>
      <c r="DN21" s="127">
        <v>92</v>
      </c>
      <c r="DO21" s="127">
        <v>104.9</v>
      </c>
      <c r="DP21" s="127">
        <v>91.6</v>
      </c>
      <c r="DQ21" s="135">
        <v>105.7</v>
      </c>
      <c r="DR21" s="134">
        <v>116.7</v>
      </c>
      <c r="DS21" s="134">
        <v>101.9</v>
      </c>
      <c r="DT21" s="127">
        <v>119.9</v>
      </c>
      <c r="DU21" s="158">
        <v>105.3</v>
      </c>
      <c r="DV21" s="192">
        <v>102.3</v>
      </c>
      <c r="DW21" s="134">
        <v>128.8</v>
      </c>
      <c r="DX21" s="134"/>
      <c r="DY21" s="169">
        <v>1504.7</v>
      </c>
      <c r="DZ21" s="134">
        <f t="shared" si="15"/>
        <v>350.2</v>
      </c>
      <c r="EA21" s="134">
        <f t="shared" si="39"/>
        <v>333.6</v>
      </c>
      <c r="EB21" s="134">
        <f t="shared" si="16"/>
        <v>385.5</v>
      </c>
      <c r="EC21" s="134">
        <f t="shared" si="17"/>
        <v>435.4</v>
      </c>
      <c r="ED21" s="18">
        <v>104.6</v>
      </c>
      <c r="EE21" s="18">
        <v>110.1</v>
      </c>
      <c r="EF21" s="19">
        <v>135.5</v>
      </c>
      <c r="EG21" s="18">
        <v>109.6</v>
      </c>
      <c r="EH21" s="19">
        <v>116.5</v>
      </c>
      <c r="EI21" s="19">
        <v>107.5</v>
      </c>
      <c r="EJ21" s="18">
        <v>101.6</v>
      </c>
      <c r="EK21" s="18">
        <v>107.2</v>
      </c>
      <c r="EL21" s="18">
        <v>176.7</v>
      </c>
      <c r="EM21" s="134">
        <v>130.3</v>
      </c>
      <c r="EN21" s="18">
        <v>148.6</v>
      </c>
      <c r="EO21" s="134">
        <v>156.5</v>
      </c>
      <c r="EP21" s="134"/>
      <c r="EQ21" s="247">
        <v>1584.5</v>
      </c>
      <c r="ER21" s="127">
        <v>341</v>
      </c>
      <c r="ES21" s="130">
        <v>366.1</v>
      </c>
      <c r="ET21" s="127">
        <v>405</v>
      </c>
      <c r="EU21" s="127">
        <v>472.4</v>
      </c>
      <c r="EV21" s="134">
        <v>91.9</v>
      </c>
      <c r="EW21" s="18">
        <v>118.9</v>
      </c>
      <c r="EX21" s="18">
        <v>130.2</v>
      </c>
      <c r="EY21" s="134">
        <v>119.8</v>
      </c>
      <c r="EZ21" s="240">
        <v>121.3</v>
      </c>
      <c r="FA21" s="192">
        <v>125</v>
      </c>
      <c r="FB21" s="192">
        <v>129.3</v>
      </c>
      <c r="FC21" s="18">
        <v>27.9</v>
      </c>
      <c r="FD21" s="192">
        <v>247.8</v>
      </c>
      <c r="FE21" s="192">
        <v>169.5</v>
      </c>
      <c r="FF21" s="192">
        <v>136.5</v>
      </c>
      <c r="FG21" s="192">
        <v>166.4</v>
      </c>
      <c r="FH21" s="192"/>
      <c r="FI21" s="269">
        <v>1742</v>
      </c>
      <c r="FJ21" s="192">
        <v>393.4</v>
      </c>
      <c r="FK21" s="18">
        <v>423.1</v>
      </c>
      <c r="FL21" s="18">
        <v>351.1</v>
      </c>
      <c r="FM21" s="18">
        <v>574.4</v>
      </c>
      <c r="FN21" s="18">
        <v>116.5</v>
      </c>
      <c r="FO21" s="18">
        <v>141.8</v>
      </c>
      <c r="FP21" s="19">
        <v>135.1</v>
      </c>
      <c r="FQ21" s="242">
        <v>134.3</v>
      </c>
      <c r="FR21" s="242">
        <v>147.7</v>
      </c>
      <c r="FS21" s="18">
        <v>141.1</v>
      </c>
      <c r="FT21" s="242">
        <v>127.7</v>
      </c>
      <c r="FU21" s="242">
        <v>93.3</v>
      </c>
      <c r="FV21" s="242">
        <v>130.1</v>
      </c>
      <c r="FW21" s="242">
        <v>151.5</v>
      </c>
      <c r="FX21" s="242">
        <v>244.9</v>
      </c>
      <c r="FY21" s="242">
        <v>178</v>
      </c>
      <c r="FZ21" s="242">
        <v>1603.9</v>
      </c>
      <c r="GA21" s="272">
        <f t="shared" si="18"/>
        <v>398.5</v>
      </c>
      <c r="GB21" s="272">
        <f t="shared" si="19"/>
        <v>386.2</v>
      </c>
      <c r="GC21" s="272">
        <f t="shared" si="20"/>
        <v>377.3</v>
      </c>
      <c r="GD21" s="272">
        <f t="shared" si="21"/>
        <v>441.9</v>
      </c>
      <c r="GE21" s="18">
        <v>190.9</v>
      </c>
      <c r="GF21" s="18">
        <v>104.2</v>
      </c>
      <c r="GG21" s="18">
        <v>103.4</v>
      </c>
      <c r="GH21" s="242">
        <v>137</v>
      </c>
      <c r="GI21" s="242">
        <v>123.7</v>
      </c>
      <c r="GJ21" s="242">
        <v>125.5</v>
      </c>
      <c r="GK21" s="242">
        <v>132.1</v>
      </c>
      <c r="GL21" s="242">
        <v>95.4</v>
      </c>
      <c r="GM21" s="242">
        <v>149.8</v>
      </c>
      <c r="GN21" s="242">
        <v>150.7</v>
      </c>
      <c r="GO21" s="18">
        <v>127.5</v>
      </c>
      <c r="GP21" s="242">
        <v>163.7</v>
      </c>
      <c r="GQ21" s="193"/>
    </row>
    <row r="22" spans="1:199" ht="12">
      <c r="A22" s="108" t="s">
        <v>39</v>
      </c>
      <c r="B22" s="154" t="s">
        <v>69</v>
      </c>
      <c r="C22" s="181">
        <f t="shared" si="0"/>
        <v>485.7</v>
      </c>
      <c r="D22" s="127">
        <f t="shared" si="26"/>
        <v>195</v>
      </c>
      <c r="E22" s="127">
        <f t="shared" si="1"/>
        <v>97.4</v>
      </c>
      <c r="F22" s="127">
        <f t="shared" si="2"/>
        <v>94.4</v>
      </c>
      <c r="G22" s="127">
        <f t="shared" si="3"/>
        <v>98.9</v>
      </c>
      <c r="H22" s="127">
        <v>78.2</v>
      </c>
      <c r="I22" s="127">
        <v>56.4</v>
      </c>
      <c r="J22" s="127">
        <v>60.4</v>
      </c>
      <c r="K22" s="127">
        <v>16.4</v>
      </c>
      <c r="L22" s="127">
        <v>47.2</v>
      </c>
      <c r="M22" s="127">
        <v>33.8</v>
      </c>
      <c r="N22" s="127">
        <v>37</v>
      </c>
      <c r="O22" s="127">
        <v>28.6</v>
      </c>
      <c r="P22" s="127">
        <v>28.8</v>
      </c>
      <c r="Q22" s="127">
        <v>30.7</v>
      </c>
      <c r="R22" s="127">
        <v>27</v>
      </c>
      <c r="S22" s="127">
        <v>41.2</v>
      </c>
      <c r="T22" s="127"/>
      <c r="U22" s="169">
        <f t="shared" si="27"/>
        <v>531.3</v>
      </c>
      <c r="V22" s="134">
        <f t="shared" si="4"/>
        <v>155.7</v>
      </c>
      <c r="W22" s="134">
        <f t="shared" si="5"/>
        <v>125</v>
      </c>
      <c r="X22" s="134">
        <f t="shared" si="6"/>
        <v>108.9</v>
      </c>
      <c r="Y22" s="134">
        <f t="shared" si="7"/>
        <v>141.7</v>
      </c>
      <c r="Z22" s="130">
        <v>46.9</v>
      </c>
      <c r="AA22" s="130">
        <v>52.7</v>
      </c>
      <c r="AB22" s="130">
        <v>56.1</v>
      </c>
      <c r="AC22" s="130">
        <v>41</v>
      </c>
      <c r="AD22" s="127">
        <v>50</v>
      </c>
      <c r="AE22" s="127">
        <v>34</v>
      </c>
      <c r="AF22" s="130">
        <v>44.8</v>
      </c>
      <c r="AG22" s="130">
        <v>28.9</v>
      </c>
      <c r="AH22" s="130">
        <v>35.2</v>
      </c>
      <c r="AI22" s="130">
        <v>49.3</v>
      </c>
      <c r="AJ22" s="130">
        <v>36.7</v>
      </c>
      <c r="AK22" s="127">
        <v>55.7</v>
      </c>
      <c r="AL22" s="127"/>
      <c r="AM22" s="169">
        <f t="shared" si="8"/>
        <v>554.5</v>
      </c>
      <c r="AN22" s="127">
        <f t="shared" si="28"/>
        <v>142.6</v>
      </c>
      <c r="AO22" s="127">
        <f t="shared" si="22"/>
        <v>144.8</v>
      </c>
      <c r="AP22" s="127">
        <f t="shared" si="23"/>
        <v>139.7</v>
      </c>
      <c r="AQ22" s="127">
        <f t="shared" si="24"/>
        <v>127.4</v>
      </c>
      <c r="AR22" s="127">
        <v>29</v>
      </c>
      <c r="AS22" s="127">
        <v>60.2</v>
      </c>
      <c r="AT22" s="127">
        <v>53.4</v>
      </c>
      <c r="AU22" s="127">
        <v>58.2</v>
      </c>
      <c r="AV22" s="127">
        <v>40.8</v>
      </c>
      <c r="AW22" s="127">
        <v>45.8</v>
      </c>
      <c r="AX22" s="127">
        <v>40</v>
      </c>
      <c r="AY22" s="127">
        <v>34.9</v>
      </c>
      <c r="AZ22" s="127">
        <v>64.8</v>
      </c>
      <c r="BA22" s="127">
        <v>37.6</v>
      </c>
      <c r="BB22" s="127">
        <v>50.2</v>
      </c>
      <c r="BC22" s="127">
        <v>39.6</v>
      </c>
      <c r="BD22" s="127"/>
      <c r="BE22" s="181">
        <f t="shared" si="41"/>
        <v>578.5</v>
      </c>
      <c r="BF22" s="127">
        <f t="shared" si="29"/>
        <v>163.9</v>
      </c>
      <c r="BG22" s="127">
        <f t="shared" si="30"/>
        <v>155.6</v>
      </c>
      <c r="BH22" s="127">
        <f t="shared" si="31"/>
        <v>139.2</v>
      </c>
      <c r="BI22" s="127">
        <f t="shared" si="25"/>
        <v>119.8</v>
      </c>
      <c r="BJ22" s="127">
        <v>62.6</v>
      </c>
      <c r="BK22" s="127">
        <v>57.8</v>
      </c>
      <c r="BL22" s="127">
        <v>43.5</v>
      </c>
      <c r="BM22" s="127">
        <v>54.2</v>
      </c>
      <c r="BN22" s="127">
        <v>35.6</v>
      </c>
      <c r="BO22" s="127">
        <v>65.8</v>
      </c>
      <c r="BP22" s="127">
        <v>51.5</v>
      </c>
      <c r="BQ22" s="127">
        <v>50.4</v>
      </c>
      <c r="BR22" s="127">
        <v>37.3</v>
      </c>
      <c r="BS22" s="127">
        <v>49.6</v>
      </c>
      <c r="BT22" s="127">
        <v>32</v>
      </c>
      <c r="BU22" s="127">
        <v>38.2</v>
      </c>
      <c r="BW22" s="169">
        <v>747.7</v>
      </c>
      <c r="BX22" s="123">
        <f t="shared" si="33"/>
        <v>162</v>
      </c>
      <c r="BY22" s="123">
        <f t="shared" si="34"/>
        <v>188.5</v>
      </c>
      <c r="BZ22" s="123">
        <f t="shared" si="35"/>
        <v>201</v>
      </c>
      <c r="CA22" s="123">
        <f t="shared" si="36"/>
        <v>196.2</v>
      </c>
      <c r="CB22" s="127">
        <v>48.6</v>
      </c>
      <c r="CC22" s="127">
        <v>70.6</v>
      </c>
      <c r="CD22" s="127">
        <v>42.8</v>
      </c>
      <c r="CE22" s="127">
        <v>70.1</v>
      </c>
      <c r="CF22" s="127">
        <v>52.5</v>
      </c>
      <c r="CG22" s="134">
        <v>65.9</v>
      </c>
      <c r="CH22" s="127">
        <v>46.7</v>
      </c>
      <c r="CI22" s="134">
        <v>72.4</v>
      </c>
      <c r="CJ22" s="134">
        <v>81.9</v>
      </c>
      <c r="CK22" s="134">
        <v>70.4</v>
      </c>
      <c r="CL22" s="134">
        <v>59.2</v>
      </c>
      <c r="CM22" s="134">
        <v>66.6</v>
      </c>
      <c r="CN22" s="134"/>
      <c r="CO22" s="169">
        <v>1077.9</v>
      </c>
      <c r="CP22" s="134">
        <f t="shared" si="10"/>
        <v>133.3</v>
      </c>
      <c r="CQ22" s="134">
        <f t="shared" si="42"/>
        <v>334.1</v>
      </c>
      <c r="CR22" s="134">
        <f t="shared" si="37"/>
        <v>346.6</v>
      </c>
      <c r="CS22" s="134">
        <f t="shared" si="11"/>
        <v>263.9</v>
      </c>
      <c r="CT22" s="127">
        <v>38.6</v>
      </c>
      <c r="CU22" s="127">
        <v>49.5</v>
      </c>
      <c r="CV22" s="137">
        <v>45.2</v>
      </c>
      <c r="CW22" s="134">
        <v>64.8</v>
      </c>
      <c r="CX22" s="134">
        <v>193</v>
      </c>
      <c r="CY22" s="134">
        <v>76.3</v>
      </c>
      <c r="CZ22" s="134">
        <v>71</v>
      </c>
      <c r="DA22" s="127">
        <v>154.9</v>
      </c>
      <c r="DB22" s="127">
        <v>120.7</v>
      </c>
      <c r="DC22" s="134">
        <v>88.6</v>
      </c>
      <c r="DD22" s="134">
        <v>81.7</v>
      </c>
      <c r="DE22" s="127">
        <v>93.6</v>
      </c>
      <c r="DF22" s="127"/>
      <c r="DG22" s="181">
        <v>1397.9</v>
      </c>
      <c r="DH22" s="134">
        <f t="shared" si="12"/>
        <v>218.1</v>
      </c>
      <c r="DI22" s="134">
        <f t="shared" si="13"/>
        <v>390.9</v>
      </c>
      <c r="DJ22" s="134">
        <f t="shared" si="38"/>
        <v>373.8</v>
      </c>
      <c r="DK22" s="134">
        <f t="shared" si="14"/>
        <v>415.1</v>
      </c>
      <c r="DL22" s="127">
        <v>81.5</v>
      </c>
      <c r="DM22" s="127">
        <v>49.4</v>
      </c>
      <c r="DN22" s="127">
        <v>87.2</v>
      </c>
      <c r="DO22" s="127">
        <v>82.1</v>
      </c>
      <c r="DP22" s="127">
        <v>166.2</v>
      </c>
      <c r="DQ22" s="135">
        <v>142.6</v>
      </c>
      <c r="DR22" s="134">
        <v>138</v>
      </c>
      <c r="DS22" s="134">
        <v>104.1</v>
      </c>
      <c r="DT22" s="127">
        <v>131.7</v>
      </c>
      <c r="DU22" s="158">
        <v>147.7</v>
      </c>
      <c r="DV22" s="192">
        <v>134</v>
      </c>
      <c r="DW22" s="134">
        <v>133.4</v>
      </c>
      <c r="DX22" s="134"/>
      <c r="DY22" s="169">
        <v>1250.1</v>
      </c>
      <c r="DZ22" s="134">
        <f t="shared" si="15"/>
        <v>386.9</v>
      </c>
      <c r="EA22" s="134">
        <f t="shared" si="39"/>
        <v>390.9</v>
      </c>
      <c r="EB22" s="134">
        <f t="shared" si="16"/>
        <v>233.1</v>
      </c>
      <c r="EC22" s="134">
        <f t="shared" si="17"/>
        <v>239.2</v>
      </c>
      <c r="ED22" s="18">
        <v>129.4</v>
      </c>
      <c r="EE22" s="18">
        <v>121.7</v>
      </c>
      <c r="EF22" s="18">
        <v>135.8</v>
      </c>
      <c r="EG22" s="18">
        <v>141.2</v>
      </c>
      <c r="EH22" s="18">
        <v>212.7</v>
      </c>
      <c r="EI22" s="19">
        <v>37</v>
      </c>
      <c r="EJ22" s="18">
        <v>117.6</v>
      </c>
      <c r="EK22" s="18">
        <v>63.3</v>
      </c>
      <c r="EL22" s="18">
        <v>52.2</v>
      </c>
      <c r="EM22" s="134">
        <v>106.3</v>
      </c>
      <c r="EN22" s="18">
        <v>81.1</v>
      </c>
      <c r="EO22" s="134">
        <v>51.8</v>
      </c>
      <c r="EP22" s="134"/>
      <c r="EQ22" s="247">
        <v>1202</v>
      </c>
      <c r="ER22" s="127">
        <v>307.3</v>
      </c>
      <c r="ES22" s="127">
        <v>357.6</v>
      </c>
      <c r="ET22" s="127">
        <v>243.6</v>
      </c>
      <c r="EU22" s="127">
        <v>293.5</v>
      </c>
      <c r="EV22" s="134">
        <v>78.7</v>
      </c>
      <c r="EW22" s="18">
        <v>108.7</v>
      </c>
      <c r="EX22" s="18">
        <v>119.9</v>
      </c>
      <c r="EY22" s="134">
        <v>119.5</v>
      </c>
      <c r="EZ22" s="192">
        <v>97.7</v>
      </c>
      <c r="FA22" s="192">
        <v>140.4</v>
      </c>
      <c r="FB22" s="192">
        <v>75.3</v>
      </c>
      <c r="FC22" s="158">
        <v>73.3</v>
      </c>
      <c r="FD22" s="192">
        <v>95</v>
      </c>
      <c r="FE22" s="192">
        <v>91.3</v>
      </c>
      <c r="FF22" s="192">
        <v>91.2</v>
      </c>
      <c r="FG22" s="192">
        <v>111</v>
      </c>
      <c r="FH22" s="192"/>
      <c r="FI22" s="269">
        <v>1368.8</v>
      </c>
      <c r="FJ22" s="192">
        <v>301.2</v>
      </c>
      <c r="FK22" s="18">
        <v>320.6</v>
      </c>
      <c r="FL22" s="18">
        <v>403.7</v>
      </c>
      <c r="FM22" s="18">
        <v>343.3</v>
      </c>
      <c r="FN22" s="18">
        <v>72.1</v>
      </c>
      <c r="FO22" s="18">
        <v>64.9</v>
      </c>
      <c r="FP22" s="19">
        <v>164.2</v>
      </c>
      <c r="FQ22" s="242">
        <v>120</v>
      </c>
      <c r="FR22" s="242">
        <v>81.7</v>
      </c>
      <c r="FS22" s="18">
        <v>118.9</v>
      </c>
      <c r="FT22" s="242">
        <v>151.3</v>
      </c>
      <c r="FU22" s="242">
        <v>105.4</v>
      </c>
      <c r="FV22" s="242">
        <v>147</v>
      </c>
      <c r="FW22" s="242">
        <v>126.1</v>
      </c>
      <c r="FX22" s="242">
        <v>80.2</v>
      </c>
      <c r="FY22" s="242">
        <v>137</v>
      </c>
      <c r="FZ22" s="242">
        <v>1154.3</v>
      </c>
      <c r="GA22" s="272">
        <f t="shared" si="18"/>
        <v>239.8</v>
      </c>
      <c r="GB22" s="272">
        <f t="shared" si="19"/>
        <v>458.3</v>
      </c>
      <c r="GC22" s="272">
        <f t="shared" si="20"/>
        <v>115.8</v>
      </c>
      <c r="GD22" s="272">
        <f t="shared" si="21"/>
        <v>340.4</v>
      </c>
      <c r="GE22" s="18">
        <v>43.6</v>
      </c>
      <c r="GF22" s="18">
        <v>90.8</v>
      </c>
      <c r="GG22" s="18">
        <v>105.4</v>
      </c>
      <c r="GH22" s="242">
        <v>188.5</v>
      </c>
      <c r="GI22" s="242">
        <v>209.2</v>
      </c>
      <c r="GJ22" s="242">
        <v>60.6</v>
      </c>
      <c r="GK22" s="242">
        <v>0.5</v>
      </c>
      <c r="GL22" s="242">
        <v>0.5</v>
      </c>
      <c r="GM22" s="242">
        <v>114.8</v>
      </c>
      <c r="GN22" s="242">
        <v>83.8</v>
      </c>
      <c r="GO22" s="18">
        <v>111.5</v>
      </c>
      <c r="GP22" s="242">
        <v>145.1</v>
      </c>
      <c r="GQ22" s="193"/>
    </row>
    <row r="23" spans="1:199" ht="12">
      <c r="A23" s="108" t="s">
        <v>40</v>
      </c>
      <c r="B23" s="154" t="s">
        <v>70</v>
      </c>
      <c r="C23" s="181">
        <f t="shared" si="0"/>
        <v>265.4</v>
      </c>
      <c r="D23" s="130">
        <f t="shared" si="26"/>
        <v>66.8</v>
      </c>
      <c r="E23" s="130">
        <f t="shared" si="1"/>
        <v>68.8</v>
      </c>
      <c r="F23" s="130">
        <f t="shared" si="2"/>
        <v>61.4</v>
      </c>
      <c r="G23" s="130">
        <f t="shared" si="3"/>
        <v>68.4</v>
      </c>
      <c r="H23" s="130">
        <v>21.4</v>
      </c>
      <c r="I23" s="130">
        <v>21</v>
      </c>
      <c r="J23" s="130">
        <v>24.4</v>
      </c>
      <c r="K23" s="130">
        <v>23.2</v>
      </c>
      <c r="L23" s="130">
        <v>21.2</v>
      </c>
      <c r="M23" s="130">
        <v>24.4</v>
      </c>
      <c r="N23" s="130">
        <v>22.1</v>
      </c>
      <c r="O23" s="130">
        <v>19.5</v>
      </c>
      <c r="P23" s="130">
        <v>19.8</v>
      </c>
      <c r="Q23" s="130">
        <v>19.1</v>
      </c>
      <c r="R23" s="130">
        <v>26.4</v>
      </c>
      <c r="S23" s="130">
        <v>22.9</v>
      </c>
      <c r="T23" s="127"/>
      <c r="U23" s="169">
        <f t="shared" si="27"/>
        <v>395.6</v>
      </c>
      <c r="V23" s="134">
        <f t="shared" si="4"/>
        <v>71.3</v>
      </c>
      <c r="W23" s="134">
        <f t="shared" si="5"/>
        <v>105.1</v>
      </c>
      <c r="X23" s="134">
        <f t="shared" si="6"/>
        <v>100.8</v>
      </c>
      <c r="Y23" s="134">
        <f t="shared" si="7"/>
        <v>118.4</v>
      </c>
      <c r="Z23" s="127">
        <v>23</v>
      </c>
      <c r="AA23" s="127">
        <v>23.1</v>
      </c>
      <c r="AB23" s="127">
        <v>25.2</v>
      </c>
      <c r="AC23" s="127">
        <v>33.8</v>
      </c>
      <c r="AD23" s="127">
        <v>34.4</v>
      </c>
      <c r="AE23" s="127">
        <v>36.9</v>
      </c>
      <c r="AF23" s="127">
        <v>32.7</v>
      </c>
      <c r="AG23" s="127">
        <v>26.9</v>
      </c>
      <c r="AH23" s="127">
        <v>41.2</v>
      </c>
      <c r="AI23" s="127">
        <v>38.6</v>
      </c>
      <c r="AJ23" s="127">
        <v>33.3</v>
      </c>
      <c r="AK23" s="127">
        <v>46.5</v>
      </c>
      <c r="AL23" s="127"/>
      <c r="AM23" s="169">
        <f t="shared" si="8"/>
        <v>573.3</v>
      </c>
      <c r="AN23" s="127">
        <f t="shared" si="28"/>
        <v>116</v>
      </c>
      <c r="AO23" s="127">
        <f t="shared" si="22"/>
        <v>161</v>
      </c>
      <c r="AP23" s="127">
        <f t="shared" si="23"/>
        <v>124.3</v>
      </c>
      <c r="AQ23" s="127">
        <f t="shared" si="24"/>
        <v>172</v>
      </c>
      <c r="AR23" s="127">
        <v>45.7</v>
      </c>
      <c r="AS23" s="127">
        <v>32.8</v>
      </c>
      <c r="AT23" s="127">
        <v>37.5</v>
      </c>
      <c r="AU23" s="130">
        <v>45.4</v>
      </c>
      <c r="AV23" s="130">
        <v>59.1</v>
      </c>
      <c r="AW23" s="130">
        <v>56.5</v>
      </c>
      <c r="AX23" s="130">
        <v>39.9</v>
      </c>
      <c r="AY23" s="127">
        <v>39.9</v>
      </c>
      <c r="AZ23" s="127">
        <v>44.5</v>
      </c>
      <c r="BA23" s="127">
        <v>59.7</v>
      </c>
      <c r="BB23" s="127">
        <v>57.2</v>
      </c>
      <c r="BC23" s="127">
        <v>55.1</v>
      </c>
      <c r="BD23" s="127"/>
      <c r="BE23" s="181">
        <f t="shared" si="41"/>
        <v>534.2</v>
      </c>
      <c r="BF23" s="127">
        <f t="shared" si="29"/>
        <v>144.6</v>
      </c>
      <c r="BG23" s="127">
        <f t="shared" si="30"/>
        <v>135.4</v>
      </c>
      <c r="BH23" s="127">
        <f t="shared" si="31"/>
        <v>141.2</v>
      </c>
      <c r="BI23" s="127">
        <f t="shared" si="25"/>
        <v>113</v>
      </c>
      <c r="BJ23" s="127">
        <v>37.2</v>
      </c>
      <c r="BK23" s="127">
        <v>51.6</v>
      </c>
      <c r="BL23" s="127">
        <v>55.8</v>
      </c>
      <c r="BM23" s="127">
        <v>45.4</v>
      </c>
      <c r="BN23" s="127">
        <v>54.6</v>
      </c>
      <c r="BO23" s="127">
        <v>35.4</v>
      </c>
      <c r="BP23" s="127">
        <v>42.7</v>
      </c>
      <c r="BQ23" s="127">
        <v>53.7</v>
      </c>
      <c r="BR23" s="127">
        <v>44.8</v>
      </c>
      <c r="BS23" s="127">
        <v>43.5</v>
      </c>
      <c r="BT23" s="127">
        <f>33.6-0.9</f>
        <v>32.7</v>
      </c>
      <c r="BU23" s="127">
        <v>36.8</v>
      </c>
      <c r="BW23" s="169">
        <v>625.2</v>
      </c>
      <c r="BX23" s="123">
        <f t="shared" si="33"/>
        <v>113</v>
      </c>
      <c r="BY23" s="123">
        <f t="shared" si="34"/>
        <v>180.7</v>
      </c>
      <c r="BZ23" s="123">
        <f t="shared" si="35"/>
        <v>191.9</v>
      </c>
      <c r="CA23" s="123">
        <f t="shared" si="36"/>
        <v>139.6</v>
      </c>
      <c r="CB23" s="127">
        <v>29.4</v>
      </c>
      <c r="CC23" s="127">
        <v>41.1</v>
      </c>
      <c r="CD23" s="127">
        <v>42.5</v>
      </c>
      <c r="CE23" s="127">
        <v>52.3</v>
      </c>
      <c r="CF23" s="127">
        <v>53.6</v>
      </c>
      <c r="CG23" s="134">
        <v>74.8</v>
      </c>
      <c r="CH23" s="127">
        <v>66</v>
      </c>
      <c r="CI23" s="134">
        <v>78.5</v>
      </c>
      <c r="CJ23" s="134">
        <v>47.4</v>
      </c>
      <c r="CK23" s="134">
        <v>31.8</v>
      </c>
      <c r="CL23" s="134">
        <v>63.9</v>
      </c>
      <c r="CM23" s="134">
        <v>43.9</v>
      </c>
      <c r="CN23" s="134"/>
      <c r="CO23" s="169">
        <v>730.5</v>
      </c>
      <c r="CP23" s="134">
        <f t="shared" si="10"/>
        <v>136.4</v>
      </c>
      <c r="CQ23" s="134">
        <f t="shared" si="42"/>
        <v>171.1</v>
      </c>
      <c r="CR23" s="134">
        <f t="shared" si="37"/>
        <v>211.5</v>
      </c>
      <c r="CS23" s="134">
        <f t="shared" si="11"/>
        <v>211.5</v>
      </c>
      <c r="CT23" s="127">
        <v>43.8</v>
      </c>
      <c r="CU23" s="127">
        <v>41.7</v>
      </c>
      <c r="CV23" s="137">
        <v>50.9</v>
      </c>
      <c r="CW23" s="134">
        <v>56.9</v>
      </c>
      <c r="CX23" s="134">
        <v>56.4</v>
      </c>
      <c r="CY23" s="134">
        <v>57.8</v>
      </c>
      <c r="CZ23" s="134">
        <v>66.8</v>
      </c>
      <c r="DA23" s="127">
        <v>70.6</v>
      </c>
      <c r="DB23" s="127">
        <v>74.1</v>
      </c>
      <c r="DC23" s="134">
        <v>74.3</v>
      </c>
      <c r="DD23" s="134">
        <v>73.8</v>
      </c>
      <c r="DE23" s="127">
        <v>63.4</v>
      </c>
      <c r="DF23" s="127"/>
      <c r="DG23" s="181">
        <v>546.3</v>
      </c>
      <c r="DH23" s="134">
        <f t="shared" si="12"/>
        <v>115.9</v>
      </c>
      <c r="DI23" s="134">
        <f>DO23+DP23+DQ23</f>
        <v>110</v>
      </c>
      <c r="DJ23" s="134">
        <f t="shared" si="38"/>
        <v>120.1</v>
      </c>
      <c r="DK23" s="134">
        <f t="shared" si="14"/>
        <v>200.3</v>
      </c>
      <c r="DL23" s="127">
        <v>25.7</v>
      </c>
      <c r="DM23" s="127">
        <v>31</v>
      </c>
      <c r="DN23" s="127">
        <v>59.2</v>
      </c>
      <c r="DO23" s="127">
        <v>37.2</v>
      </c>
      <c r="DP23" s="127">
        <v>37.8</v>
      </c>
      <c r="DQ23" s="135">
        <v>35</v>
      </c>
      <c r="DR23" s="134">
        <v>37.6</v>
      </c>
      <c r="DS23" s="134">
        <v>43</v>
      </c>
      <c r="DT23" s="127">
        <v>39.5</v>
      </c>
      <c r="DU23" s="158">
        <v>54.1</v>
      </c>
      <c r="DV23" s="192">
        <v>45</v>
      </c>
      <c r="DW23" s="134">
        <v>101.2</v>
      </c>
      <c r="DX23" s="134"/>
      <c r="DY23" s="169">
        <v>624.6</v>
      </c>
      <c r="DZ23" s="134">
        <f t="shared" si="15"/>
        <v>162.7</v>
      </c>
      <c r="EA23" s="134">
        <f t="shared" si="39"/>
        <v>169.3</v>
      </c>
      <c r="EB23" s="134">
        <f t="shared" si="16"/>
        <v>158.3</v>
      </c>
      <c r="EC23" s="134">
        <f t="shared" si="17"/>
        <v>134.3</v>
      </c>
      <c r="ED23" s="18">
        <v>28.9</v>
      </c>
      <c r="EE23" s="18">
        <v>66</v>
      </c>
      <c r="EF23" s="18">
        <v>67.8</v>
      </c>
      <c r="EG23" s="18">
        <v>63.6</v>
      </c>
      <c r="EH23" s="19">
        <v>38.6</v>
      </c>
      <c r="EI23" s="18">
        <v>67.1</v>
      </c>
      <c r="EJ23" s="18">
        <v>36.3</v>
      </c>
      <c r="EK23" s="18">
        <v>59</v>
      </c>
      <c r="EL23" s="18">
        <v>63</v>
      </c>
      <c r="EM23" s="134">
        <v>42.5</v>
      </c>
      <c r="EN23" s="18">
        <v>35.1</v>
      </c>
      <c r="EO23" s="134">
        <v>56.7</v>
      </c>
      <c r="EP23" s="134"/>
      <c r="EQ23" s="247">
        <v>828.6</v>
      </c>
      <c r="ER23" s="127">
        <v>136.8</v>
      </c>
      <c r="ES23" s="127">
        <v>197.5</v>
      </c>
      <c r="ET23" s="127">
        <v>258.4</v>
      </c>
      <c r="EU23" s="127">
        <v>235.9</v>
      </c>
      <c r="EV23" s="134">
        <v>37.9</v>
      </c>
      <c r="EW23" s="18">
        <v>45.7</v>
      </c>
      <c r="EX23" s="18">
        <v>53.2</v>
      </c>
      <c r="EY23" s="134">
        <v>61.7</v>
      </c>
      <c r="EZ23" s="192">
        <v>64</v>
      </c>
      <c r="FA23" s="192">
        <v>71.8</v>
      </c>
      <c r="FB23" s="192">
        <v>66.5</v>
      </c>
      <c r="FC23" s="18">
        <v>94.4</v>
      </c>
      <c r="FD23" s="192">
        <v>97.5</v>
      </c>
      <c r="FE23" s="192">
        <v>72.3</v>
      </c>
      <c r="FF23" s="192">
        <v>72.6</v>
      </c>
      <c r="FG23" s="192">
        <v>91</v>
      </c>
      <c r="FH23" s="192"/>
      <c r="FI23" s="269">
        <v>1028.5</v>
      </c>
      <c r="FJ23" s="192">
        <v>227.7</v>
      </c>
      <c r="FK23" s="18">
        <v>304</v>
      </c>
      <c r="FL23" s="18">
        <v>252.1</v>
      </c>
      <c r="FM23" s="18">
        <v>244.7</v>
      </c>
      <c r="FN23" s="18">
        <v>72.7</v>
      </c>
      <c r="FO23" s="18">
        <v>69</v>
      </c>
      <c r="FP23" s="18">
        <v>86</v>
      </c>
      <c r="FQ23" s="242">
        <v>109.9</v>
      </c>
      <c r="FR23" s="242">
        <v>85.8</v>
      </c>
      <c r="FS23" s="18">
        <v>108.3</v>
      </c>
      <c r="FT23" s="242">
        <v>92</v>
      </c>
      <c r="FU23" s="242">
        <v>87</v>
      </c>
      <c r="FV23" s="242">
        <v>73.1</v>
      </c>
      <c r="FW23" s="242">
        <v>96.3</v>
      </c>
      <c r="FX23" s="242">
        <v>76.3</v>
      </c>
      <c r="FY23" s="242">
        <v>72.1</v>
      </c>
      <c r="FZ23" s="242">
        <v>1031.7</v>
      </c>
      <c r="GA23" s="272">
        <f t="shared" si="18"/>
        <v>197.9</v>
      </c>
      <c r="GB23" s="272">
        <f t="shared" si="19"/>
        <v>278</v>
      </c>
      <c r="GC23" s="272">
        <f t="shared" si="20"/>
        <v>289.1</v>
      </c>
      <c r="GD23" s="272">
        <f t="shared" si="21"/>
        <v>266.7</v>
      </c>
      <c r="GE23" s="18">
        <v>58.6</v>
      </c>
      <c r="GF23" s="18">
        <v>55.4</v>
      </c>
      <c r="GG23" s="18">
        <v>83.9</v>
      </c>
      <c r="GH23" s="242">
        <v>86.1</v>
      </c>
      <c r="GI23" s="242">
        <v>91.5</v>
      </c>
      <c r="GJ23" s="242">
        <v>100.4</v>
      </c>
      <c r="GK23" s="242">
        <v>96</v>
      </c>
      <c r="GL23" s="242">
        <v>110</v>
      </c>
      <c r="GM23" s="242">
        <v>83.1</v>
      </c>
      <c r="GN23" s="242">
        <v>85.9</v>
      </c>
      <c r="GO23" s="18">
        <v>73.4</v>
      </c>
      <c r="GP23" s="242">
        <v>107.4</v>
      </c>
      <c r="GQ23" s="193"/>
    </row>
    <row r="24" spans="1:199" ht="12.75" customHeight="1">
      <c r="A24" s="108" t="s">
        <v>55</v>
      </c>
      <c r="B24" s="154" t="s">
        <v>71</v>
      </c>
      <c r="C24" s="181">
        <f t="shared" si="0"/>
        <v>487.1</v>
      </c>
      <c r="D24" s="127">
        <f t="shared" si="26"/>
        <v>110.7</v>
      </c>
      <c r="E24" s="127">
        <f t="shared" si="1"/>
        <v>106</v>
      </c>
      <c r="F24" s="127">
        <f t="shared" si="2"/>
        <v>135.8</v>
      </c>
      <c r="G24" s="127">
        <f t="shared" si="3"/>
        <v>134.6</v>
      </c>
      <c r="H24" s="127">
        <v>37.4</v>
      </c>
      <c r="I24" s="127">
        <v>35.7</v>
      </c>
      <c r="J24" s="127">
        <v>37.6</v>
      </c>
      <c r="K24" s="127">
        <v>34.7</v>
      </c>
      <c r="L24" s="127">
        <v>36.2</v>
      </c>
      <c r="M24" s="127">
        <v>35.1</v>
      </c>
      <c r="N24" s="127">
        <v>45</v>
      </c>
      <c r="O24" s="127">
        <v>40.5</v>
      </c>
      <c r="P24" s="127">
        <v>50.3</v>
      </c>
      <c r="Q24" s="127">
        <v>40.4</v>
      </c>
      <c r="R24" s="127">
        <v>41.5</v>
      </c>
      <c r="S24" s="127">
        <v>52.7</v>
      </c>
      <c r="T24" s="127"/>
      <c r="U24" s="169">
        <f t="shared" si="27"/>
        <v>954.4</v>
      </c>
      <c r="V24" s="134">
        <f t="shared" si="4"/>
        <v>144.4</v>
      </c>
      <c r="W24" s="134">
        <f t="shared" si="5"/>
        <v>223.7</v>
      </c>
      <c r="X24" s="134">
        <f t="shared" si="6"/>
        <v>293</v>
      </c>
      <c r="Y24" s="134">
        <f t="shared" si="7"/>
        <v>293.3</v>
      </c>
      <c r="Z24" s="127">
        <v>53.7</v>
      </c>
      <c r="AA24" s="127">
        <v>40.2</v>
      </c>
      <c r="AB24" s="127">
        <v>50.5</v>
      </c>
      <c r="AC24" s="127">
        <v>88.7</v>
      </c>
      <c r="AD24" s="127">
        <v>80.4</v>
      </c>
      <c r="AE24" s="127">
        <v>54.6</v>
      </c>
      <c r="AF24" s="127">
        <v>101.2</v>
      </c>
      <c r="AG24" s="127">
        <v>92.9</v>
      </c>
      <c r="AH24" s="127">
        <v>98.9</v>
      </c>
      <c r="AI24" s="127">
        <v>92.6</v>
      </c>
      <c r="AJ24" s="127">
        <v>88.1</v>
      </c>
      <c r="AK24" s="127">
        <v>112.6</v>
      </c>
      <c r="AL24" s="127"/>
      <c r="AM24" s="169">
        <f t="shared" si="8"/>
        <v>1114.9</v>
      </c>
      <c r="AN24" s="127">
        <f t="shared" si="28"/>
        <v>188</v>
      </c>
      <c r="AO24" s="127">
        <f t="shared" si="22"/>
        <v>298.4</v>
      </c>
      <c r="AP24" s="127">
        <f t="shared" si="23"/>
        <v>257.8</v>
      </c>
      <c r="AQ24" s="127">
        <f t="shared" si="24"/>
        <v>370.7</v>
      </c>
      <c r="AR24" s="127">
        <v>77.3</v>
      </c>
      <c r="AS24" s="127">
        <v>59.9</v>
      </c>
      <c r="AT24" s="127">
        <v>50.8</v>
      </c>
      <c r="AU24" s="127">
        <v>75.7</v>
      </c>
      <c r="AV24" s="127">
        <v>117.8</v>
      </c>
      <c r="AW24" s="127">
        <v>104.9</v>
      </c>
      <c r="AX24" s="127">
        <v>79.9</v>
      </c>
      <c r="AY24" s="127">
        <v>95.2</v>
      </c>
      <c r="AZ24" s="127">
        <v>82.7</v>
      </c>
      <c r="BA24" s="132">
        <v>80.3</v>
      </c>
      <c r="BB24" s="127">
        <v>90.7</v>
      </c>
      <c r="BC24" s="127">
        <v>199.7</v>
      </c>
      <c r="BD24" s="127"/>
      <c r="BE24" s="181">
        <f t="shared" si="41"/>
        <v>1214.8</v>
      </c>
      <c r="BF24" s="127">
        <f t="shared" si="29"/>
        <v>231.1</v>
      </c>
      <c r="BG24" s="127">
        <f t="shared" si="30"/>
        <v>346.8</v>
      </c>
      <c r="BH24" s="127">
        <f t="shared" si="31"/>
        <v>326.3</v>
      </c>
      <c r="BI24" s="127">
        <f t="shared" si="25"/>
        <v>310.6</v>
      </c>
      <c r="BJ24" s="127">
        <v>70.1</v>
      </c>
      <c r="BK24" s="127">
        <v>67.1</v>
      </c>
      <c r="BL24" s="127">
        <v>93.9</v>
      </c>
      <c r="BM24" s="127">
        <v>98.9</v>
      </c>
      <c r="BN24" s="127">
        <v>144.8</v>
      </c>
      <c r="BO24" s="127">
        <v>103.1</v>
      </c>
      <c r="BP24" s="127">
        <v>121.1</v>
      </c>
      <c r="BQ24" s="127">
        <v>104.4</v>
      </c>
      <c r="BR24" s="127">
        <v>100.8</v>
      </c>
      <c r="BS24" s="127">
        <v>101.5</v>
      </c>
      <c r="BT24" s="127">
        <v>100.5</v>
      </c>
      <c r="BU24" s="127">
        <v>108.6</v>
      </c>
      <c r="BW24" s="169">
        <v>1269.8</v>
      </c>
      <c r="BX24" s="123">
        <f t="shared" si="33"/>
        <v>241.5</v>
      </c>
      <c r="BY24" s="123">
        <f t="shared" si="34"/>
        <v>268.5</v>
      </c>
      <c r="BZ24" s="123">
        <f t="shared" si="35"/>
        <v>353.8</v>
      </c>
      <c r="CA24" s="123">
        <f t="shared" si="36"/>
        <v>406</v>
      </c>
      <c r="CB24" s="127">
        <v>74.5</v>
      </c>
      <c r="CC24" s="127">
        <v>83.1</v>
      </c>
      <c r="CD24" s="127">
        <v>83.9</v>
      </c>
      <c r="CE24" s="127">
        <v>83.4</v>
      </c>
      <c r="CF24" s="127">
        <v>99</v>
      </c>
      <c r="CG24" s="134">
        <v>86.1</v>
      </c>
      <c r="CH24" s="127">
        <v>106.6</v>
      </c>
      <c r="CI24" s="134">
        <v>129.1</v>
      </c>
      <c r="CJ24" s="134">
        <v>118.1</v>
      </c>
      <c r="CK24" s="134">
        <v>133.4</v>
      </c>
      <c r="CL24" s="134">
        <v>142.3</v>
      </c>
      <c r="CM24" s="134">
        <v>130.3</v>
      </c>
      <c r="CN24" s="134"/>
      <c r="CO24" s="169">
        <v>1259.8</v>
      </c>
      <c r="CP24" s="134">
        <f t="shared" si="10"/>
        <v>224.5</v>
      </c>
      <c r="CQ24" s="134">
        <f t="shared" si="42"/>
        <v>366.7</v>
      </c>
      <c r="CR24" s="134">
        <f t="shared" si="37"/>
        <v>427.7</v>
      </c>
      <c r="CS24" s="134">
        <f t="shared" si="11"/>
        <v>240.9</v>
      </c>
      <c r="CT24" s="127">
        <v>50.1</v>
      </c>
      <c r="CU24" s="127">
        <v>73.6</v>
      </c>
      <c r="CV24" s="137">
        <v>100.8</v>
      </c>
      <c r="CW24" s="134">
        <v>117.7</v>
      </c>
      <c r="CX24" s="134">
        <v>113.1</v>
      </c>
      <c r="CY24" s="134">
        <v>135.9</v>
      </c>
      <c r="CZ24" s="134">
        <v>162.9</v>
      </c>
      <c r="DA24" s="127">
        <v>110.7</v>
      </c>
      <c r="DB24" s="127">
        <v>154.1</v>
      </c>
      <c r="DC24" s="134">
        <v>93.4</v>
      </c>
      <c r="DD24" s="134">
        <v>60.5</v>
      </c>
      <c r="DE24" s="127">
        <v>87</v>
      </c>
      <c r="DF24" s="127"/>
      <c r="DG24" s="181">
        <v>1117.1</v>
      </c>
      <c r="DH24" s="134">
        <f t="shared" si="12"/>
        <v>154.9</v>
      </c>
      <c r="DI24" s="134">
        <f>DO24+DP24+DQ24</f>
        <v>291.6</v>
      </c>
      <c r="DJ24" s="134">
        <f t="shared" si="38"/>
        <v>375.6</v>
      </c>
      <c r="DK24" s="134">
        <f t="shared" si="14"/>
        <v>295</v>
      </c>
      <c r="DL24" s="127">
        <v>34.3</v>
      </c>
      <c r="DM24" s="127">
        <v>59.9</v>
      </c>
      <c r="DN24" s="127">
        <v>60.7</v>
      </c>
      <c r="DO24" s="127">
        <v>86.1</v>
      </c>
      <c r="DP24" s="127">
        <v>97.1</v>
      </c>
      <c r="DQ24" s="135">
        <v>108.4</v>
      </c>
      <c r="DR24" s="134">
        <v>128</v>
      </c>
      <c r="DS24" s="134">
        <v>127.4</v>
      </c>
      <c r="DT24" s="127">
        <v>120.2</v>
      </c>
      <c r="DU24" s="158">
        <v>83.8</v>
      </c>
      <c r="DV24" s="192">
        <v>83.3</v>
      </c>
      <c r="DW24" s="134">
        <v>127.9</v>
      </c>
      <c r="DX24" s="134"/>
      <c r="DY24" s="169">
        <v>1221.9</v>
      </c>
      <c r="DZ24" s="134">
        <f t="shared" si="15"/>
        <v>198.6</v>
      </c>
      <c r="EA24" s="134">
        <f t="shared" si="39"/>
        <v>304.4</v>
      </c>
      <c r="EB24" s="134">
        <f t="shared" si="16"/>
        <v>389.2</v>
      </c>
      <c r="EC24" s="134">
        <f t="shared" si="17"/>
        <v>329.7</v>
      </c>
      <c r="ED24" s="18">
        <v>51.3</v>
      </c>
      <c r="EE24" s="18">
        <v>74.5</v>
      </c>
      <c r="EF24" s="18">
        <v>72.8</v>
      </c>
      <c r="EG24" s="19">
        <v>74.3</v>
      </c>
      <c r="EH24" s="18">
        <v>98.7</v>
      </c>
      <c r="EI24" s="19">
        <v>131.4</v>
      </c>
      <c r="EJ24" s="18">
        <v>128.9</v>
      </c>
      <c r="EK24" s="18">
        <v>124.3</v>
      </c>
      <c r="EL24" s="18">
        <v>136</v>
      </c>
      <c r="EM24" s="134">
        <v>119.7</v>
      </c>
      <c r="EN24" s="18">
        <v>112.6</v>
      </c>
      <c r="EO24" s="134">
        <v>97.4</v>
      </c>
      <c r="EP24" s="134"/>
      <c r="EQ24" s="247">
        <v>1819.8</v>
      </c>
      <c r="ER24" s="127">
        <v>273.8</v>
      </c>
      <c r="ES24" s="127">
        <v>470.2</v>
      </c>
      <c r="ET24" s="127">
        <v>580.6</v>
      </c>
      <c r="EU24" s="127">
        <v>495.2</v>
      </c>
      <c r="EV24" s="134">
        <v>83.1</v>
      </c>
      <c r="EW24" s="18">
        <v>81.2</v>
      </c>
      <c r="EX24" s="18">
        <v>109.5</v>
      </c>
      <c r="EY24" s="134">
        <v>137.3</v>
      </c>
      <c r="EZ24" s="192">
        <v>172.7</v>
      </c>
      <c r="FA24" s="192">
        <v>160.2</v>
      </c>
      <c r="FB24" s="192">
        <v>193.3</v>
      </c>
      <c r="FC24" s="18">
        <v>202.1</v>
      </c>
      <c r="FD24" s="192">
        <v>185.2</v>
      </c>
      <c r="FE24" s="192">
        <v>178.6</v>
      </c>
      <c r="FF24" s="192">
        <v>181.2</v>
      </c>
      <c r="FG24" s="192">
        <v>135.4</v>
      </c>
      <c r="FH24" s="192"/>
      <c r="FI24" s="269">
        <v>1723.9</v>
      </c>
      <c r="FJ24" s="192">
        <v>302.4</v>
      </c>
      <c r="FK24" s="18">
        <v>536.8</v>
      </c>
      <c r="FL24" s="18">
        <v>489.1</v>
      </c>
      <c r="FM24" s="18">
        <v>395.6</v>
      </c>
      <c r="FN24" s="18">
        <v>69.8</v>
      </c>
      <c r="FO24" s="18">
        <v>100.9</v>
      </c>
      <c r="FP24" s="18">
        <v>131.7</v>
      </c>
      <c r="FQ24" s="242">
        <v>171.9</v>
      </c>
      <c r="FR24" s="242">
        <v>145.1</v>
      </c>
      <c r="FS24" s="18">
        <v>219.8</v>
      </c>
      <c r="FT24" s="242">
        <v>185.3</v>
      </c>
      <c r="FU24" s="242">
        <v>156.6</v>
      </c>
      <c r="FV24" s="242">
        <v>147.2</v>
      </c>
      <c r="FW24" s="242">
        <v>156.2</v>
      </c>
      <c r="FX24" s="242">
        <v>119.7</v>
      </c>
      <c r="FY24" s="242">
        <v>119.7</v>
      </c>
      <c r="FZ24" s="242">
        <v>2140.6</v>
      </c>
      <c r="GA24" s="272">
        <f t="shared" si="18"/>
        <v>279.6</v>
      </c>
      <c r="GB24" s="272">
        <f t="shared" si="19"/>
        <v>504.2</v>
      </c>
      <c r="GC24" s="272">
        <f t="shared" si="20"/>
        <v>876</v>
      </c>
      <c r="GD24" s="272">
        <f t="shared" si="21"/>
        <v>480.8</v>
      </c>
      <c r="GE24" s="18">
        <v>78.7</v>
      </c>
      <c r="GF24" s="18">
        <v>86.2</v>
      </c>
      <c r="GG24" s="18">
        <v>114.7</v>
      </c>
      <c r="GH24" s="242">
        <v>157.3</v>
      </c>
      <c r="GI24" s="242">
        <v>155</v>
      </c>
      <c r="GJ24" s="272">
        <v>191.9</v>
      </c>
      <c r="GK24" s="242">
        <v>172.6</v>
      </c>
      <c r="GL24" s="242">
        <v>183.8</v>
      </c>
      <c r="GM24" s="242">
        <v>519.6</v>
      </c>
      <c r="GN24" s="242">
        <v>131.1</v>
      </c>
      <c r="GO24" s="18">
        <v>152.1</v>
      </c>
      <c r="GP24" s="242">
        <v>197.6</v>
      </c>
      <c r="GQ24" s="193"/>
    </row>
    <row r="25" spans="1:199" ht="12">
      <c r="A25" s="108" t="s">
        <v>56</v>
      </c>
      <c r="B25" s="154" t="s">
        <v>72</v>
      </c>
      <c r="C25" s="181">
        <f t="shared" si="0"/>
        <v>2732.1</v>
      </c>
      <c r="D25" s="127">
        <f t="shared" si="26"/>
        <v>408.3</v>
      </c>
      <c r="E25" s="127">
        <f t="shared" si="1"/>
        <v>790.2</v>
      </c>
      <c r="F25" s="127">
        <f t="shared" si="2"/>
        <v>738.8</v>
      </c>
      <c r="G25" s="127">
        <f t="shared" si="3"/>
        <v>794.8</v>
      </c>
      <c r="H25" s="127">
        <v>89.6</v>
      </c>
      <c r="I25" s="127">
        <v>150.6</v>
      </c>
      <c r="J25" s="127">
        <v>168.1</v>
      </c>
      <c r="K25" s="127">
        <v>306.2</v>
      </c>
      <c r="L25" s="127">
        <v>295.5</v>
      </c>
      <c r="M25" s="127">
        <v>188.5</v>
      </c>
      <c r="N25" s="127">
        <v>230.1</v>
      </c>
      <c r="O25" s="127">
        <v>237.6</v>
      </c>
      <c r="P25" s="127">
        <v>271.1</v>
      </c>
      <c r="Q25" s="127">
        <v>274.4</v>
      </c>
      <c r="R25" s="127">
        <v>264.1</v>
      </c>
      <c r="S25" s="127">
        <v>256.3</v>
      </c>
      <c r="T25" s="127"/>
      <c r="U25" s="169">
        <f t="shared" si="27"/>
        <v>3629.4</v>
      </c>
      <c r="V25" s="134">
        <f t="shared" si="4"/>
        <v>621.6</v>
      </c>
      <c r="W25" s="134">
        <f t="shared" si="5"/>
        <v>948</v>
      </c>
      <c r="X25" s="134">
        <f t="shared" si="6"/>
        <v>1089.8</v>
      </c>
      <c r="Y25" s="134">
        <f t="shared" si="7"/>
        <v>970</v>
      </c>
      <c r="Z25" s="130">
        <v>225.8</v>
      </c>
      <c r="AA25" s="130">
        <v>216.6</v>
      </c>
      <c r="AB25" s="130">
        <v>179.2</v>
      </c>
      <c r="AC25" s="130">
        <v>215.6</v>
      </c>
      <c r="AD25" s="127">
        <v>352.6</v>
      </c>
      <c r="AE25" s="127">
        <v>379.8</v>
      </c>
      <c r="AF25" s="127">
        <v>367.4</v>
      </c>
      <c r="AG25" s="130">
        <v>356.9</v>
      </c>
      <c r="AH25" s="130">
        <v>365.5</v>
      </c>
      <c r="AI25" s="130">
        <v>371.1</v>
      </c>
      <c r="AJ25" s="130">
        <v>311</v>
      </c>
      <c r="AK25" s="127">
        <v>287.9</v>
      </c>
      <c r="AL25" s="127"/>
      <c r="AM25" s="169">
        <f t="shared" si="8"/>
        <v>4168.3</v>
      </c>
      <c r="AN25" s="127">
        <f t="shared" si="28"/>
        <v>800.2</v>
      </c>
      <c r="AO25" s="127">
        <f t="shared" si="22"/>
        <v>1076.7</v>
      </c>
      <c r="AP25" s="127">
        <f t="shared" si="23"/>
        <v>1237</v>
      </c>
      <c r="AQ25" s="127">
        <f t="shared" si="24"/>
        <v>1054.4</v>
      </c>
      <c r="AR25" s="127">
        <v>270</v>
      </c>
      <c r="AS25" s="127">
        <v>229.5</v>
      </c>
      <c r="AT25" s="127">
        <v>300.7</v>
      </c>
      <c r="AU25" s="127">
        <v>354</v>
      </c>
      <c r="AV25" s="127">
        <v>351.4</v>
      </c>
      <c r="AW25" s="127">
        <v>371.3</v>
      </c>
      <c r="AX25" s="127">
        <v>393.1</v>
      </c>
      <c r="AY25" s="127">
        <v>415.3</v>
      </c>
      <c r="AZ25" s="127">
        <v>428.6</v>
      </c>
      <c r="BA25" s="127">
        <v>377.5</v>
      </c>
      <c r="BB25" s="127">
        <v>350.4</v>
      </c>
      <c r="BC25" s="127">
        <v>326.5</v>
      </c>
      <c r="BD25" s="127"/>
      <c r="BE25" s="181">
        <f t="shared" si="41"/>
        <v>5228.8</v>
      </c>
      <c r="BF25" s="127">
        <f t="shared" si="29"/>
        <v>890.9</v>
      </c>
      <c r="BG25" s="127">
        <f t="shared" si="30"/>
        <v>1306.5</v>
      </c>
      <c r="BH25" s="127">
        <f t="shared" si="31"/>
        <v>1633</v>
      </c>
      <c r="BI25" s="127">
        <f t="shared" si="25"/>
        <v>1398.4</v>
      </c>
      <c r="BJ25" s="127">
        <v>253.7</v>
      </c>
      <c r="BK25" s="127">
        <v>301.7</v>
      </c>
      <c r="BL25" s="127">
        <v>335.5</v>
      </c>
      <c r="BM25" s="127">
        <v>408.6</v>
      </c>
      <c r="BN25" s="127">
        <v>437.9</v>
      </c>
      <c r="BO25" s="127">
        <v>460</v>
      </c>
      <c r="BP25" s="127">
        <v>546.4</v>
      </c>
      <c r="BQ25" s="127">
        <v>527.4</v>
      </c>
      <c r="BR25" s="127">
        <v>559.2</v>
      </c>
      <c r="BS25" s="127">
        <v>557.3</v>
      </c>
      <c r="BT25" s="127">
        <v>511</v>
      </c>
      <c r="BU25" s="127">
        <v>330.1</v>
      </c>
      <c r="BW25" s="169">
        <v>7437.6</v>
      </c>
      <c r="BX25" s="123">
        <f t="shared" si="33"/>
        <v>1449.3</v>
      </c>
      <c r="BY25" s="123">
        <f t="shared" si="34"/>
        <v>1960.2</v>
      </c>
      <c r="BZ25" s="123">
        <f t="shared" si="35"/>
        <v>2105</v>
      </c>
      <c r="CA25" s="123">
        <f t="shared" si="36"/>
        <v>1923.1</v>
      </c>
      <c r="CB25" s="127">
        <v>428.4</v>
      </c>
      <c r="CC25" s="127">
        <v>434.1</v>
      </c>
      <c r="CD25" s="127">
        <v>586.8</v>
      </c>
      <c r="CE25" s="127">
        <v>634.9</v>
      </c>
      <c r="CF25" s="127">
        <v>646.8</v>
      </c>
      <c r="CG25" s="134">
        <v>678.5</v>
      </c>
      <c r="CH25" s="127">
        <v>695.7</v>
      </c>
      <c r="CI25" s="134">
        <v>723.7</v>
      </c>
      <c r="CJ25" s="134">
        <v>685.6</v>
      </c>
      <c r="CK25" s="134">
        <v>686</v>
      </c>
      <c r="CL25" s="134">
        <v>637.4</v>
      </c>
      <c r="CM25" s="134">
        <v>599.7</v>
      </c>
      <c r="CN25" s="134"/>
      <c r="CO25" s="169">
        <v>8949.1</v>
      </c>
      <c r="CP25" s="134">
        <f t="shared" si="10"/>
        <v>1703</v>
      </c>
      <c r="CQ25" s="134">
        <f t="shared" si="42"/>
        <v>2680.4</v>
      </c>
      <c r="CR25" s="134">
        <f t="shared" si="37"/>
        <v>2477.5</v>
      </c>
      <c r="CS25" s="134">
        <f t="shared" si="11"/>
        <v>2088.2</v>
      </c>
      <c r="CT25" s="127">
        <v>317.1</v>
      </c>
      <c r="CU25" s="127">
        <v>615</v>
      </c>
      <c r="CV25" s="137">
        <v>770.9</v>
      </c>
      <c r="CW25" s="134">
        <v>877.5</v>
      </c>
      <c r="CX25" s="134">
        <v>901.8</v>
      </c>
      <c r="CY25" s="134">
        <v>901.1</v>
      </c>
      <c r="CZ25" s="134">
        <v>751.3</v>
      </c>
      <c r="DA25" s="127">
        <v>776.9</v>
      </c>
      <c r="DB25" s="127">
        <v>949.3</v>
      </c>
      <c r="DC25" s="134">
        <v>847.8</v>
      </c>
      <c r="DD25" s="134">
        <v>480</v>
      </c>
      <c r="DE25" s="127">
        <v>760.4</v>
      </c>
      <c r="DF25" s="127"/>
      <c r="DG25" s="181">
        <v>5556.3</v>
      </c>
      <c r="DH25" s="134">
        <f t="shared" si="12"/>
        <v>554.7</v>
      </c>
      <c r="DI25" s="134">
        <f t="shared" si="13"/>
        <v>1419.3</v>
      </c>
      <c r="DJ25" s="134">
        <f t="shared" si="38"/>
        <v>2149.6</v>
      </c>
      <c r="DK25" s="134">
        <f t="shared" si="14"/>
        <v>1432.7</v>
      </c>
      <c r="DL25" s="127">
        <v>130.5</v>
      </c>
      <c r="DM25" s="127">
        <v>185.8</v>
      </c>
      <c r="DN25" s="127">
        <v>238.4</v>
      </c>
      <c r="DO25" s="127">
        <v>390.1</v>
      </c>
      <c r="DP25" s="127">
        <v>357.6</v>
      </c>
      <c r="DQ25" s="135">
        <v>671.6</v>
      </c>
      <c r="DR25" s="134">
        <v>793.4</v>
      </c>
      <c r="DS25" s="134">
        <v>635.9</v>
      </c>
      <c r="DT25" s="127">
        <v>720.3</v>
      </c>
      <c r="DU25" s="158">
        <v>670.3</v>
      </c>
      <c r="DV25" s="192">
        <v>419.1</v>
      </c>
      <c r="DW25" s="134">
        <v>343.3</v>
      </c>
      <c r="DX25" s="134"/>
      <c r="DY25" s="169">
        <v>6314.4</v>
      </c>
      <c r="DZ25" s="134">
        <f t="shared" si="15"/>
        <v>881.2</v>
      </c>
      <c r="EA25" s="134">
        <f t="shared" si="39"/>
        <v>1568</v>
      </c>
      <c r="EB25" s="134">
        <f t="shared" si="16"/>
        <v>2182.9</v>
      </c>
      <c r="EC25" s="134">
        <f t="shared" si="17"/>
        <v>1682.3</v>
      </c>
      <c r="ED25" s="18">
        <v>168.2</v>
      </c>
      <c r="EE25" s="18">
        <v>268.6</v>
      </c>
      <c r="EF25" s="18">
        <v>444.4</v>
      </c>
      <c r="EG25" s="18">
        <v>439.8</v>
      </c>
      <c r="EH25" s="18">
        <v>550.8</v>
      </c>
      <c r="EI25" s="18">
        <v>577.4</v>
      </c>
      <c r="EJ25" s="19">
        <v>608.7</v>
      </c>
      <c r="EK25" s="18">
        <v>732.1</v>
      </c>
      <c r="EL25" s="18">
        <v>842.1</v>
      </c>
      <c r="EM25" s="134">
        <v>687.6</v>
      </c>
      <c r="EN25" s="18">
        <v>575</v>
      </c>
      <c r="EO25" s="134">
        <v>419.7</v>
      </c>
      <c r="EP25" s="134"/>
      <c r="EQ25" s="247">
        <v>7947.5</v>
      </c>
      <c r="ER25" s="127">
        <v>998.3</v>
      </c>
      <c r="ES25" s="127">
        <v>2258.9</v>
      </c>
      <c r="ET25" s="127">
        <v>2827.1</v>
      </c>
      <c r="EU25" s="127">
        <v>1863.2</v>
      </c>
      <c r="EV25" s="134">
        <v>120</v>
      </c>
      <c r="EW25" s="18">
        <v>336.8</v>
      </c>
      <c r="EX25" s="18">
        <v>541.5</v>
      </c>
      <c r="EY25" s="134">
        <v>698.4</v>
      </c>
      <c r="EZ25" s="192">
        <v>738.6</v>
      </c>
      <c r="FA25" s="192">
        <v>821.9</v>
      </c>
      <c r="FB25" s="192">
        <v>885.1</v>
      </c>
      <c r="FC25" s="18">
        <v>956.5</v>
      </c>
      <c r="FD25" s="192">
        <v>985.5</v>
      </c>
      <c r="FE25" s="192">
        <v>868.3</v>
      </c>
      <c r="FF25" s="192">
        <v>536.3</v>
      </c>
      <c r="FG25" s="192">
        <v>458.6</v>
      </c>
      <c r="FH25" s="192"/>
      <c r="FI25" s="269">
        <v>10980.4</v>
      </c>
      <c r="FJ25" s="192">
        <v>937.2</v>
      </c>
      <c r="FK25" s="18">
        <v>2908.2</v>
      </c>
      <c r="FL25" s="18">
        <v>4166.5</v>
      </c>
      <c r="FM25" s="18">
        <v>2968.5</v>
      </c>
      <c r="FN25" s="18">
        <v>182.2</v>
      </c>
      <c r="FO25" s="18">
        <v>237.8</v>
      </c>
      <c r="FP25" s="18">
        <v>517.2</v>
      </c>
      <c r="FQ25" s="242">
        <v>746.3</v>
      </c>
      <c r="FR25" s="242">
        <v>982.1</v>
      </c>
      <c r="FS25" s="18">
        <v>1179.8</v>
      </c>
      <c r="FT25" s="242">
        <v>1344.8</v>
      </c>
      <c r="FU25" s="242">
        <v>1408.6</v>
      </c>
      <c r="FV25" s="242">
        <v>1413.1</v>
      </c>
      <c r="FW25" s="242">
        <v>1369.9</v>
      </c>
      <c r="FX25" s="242">
        <v>933.9</v>
      </c>
      <c r="FY25" s="242">
        <v>664.7</v>
      </c>
      <c r="FZ25" s="242">
        <v>15112.7</v>
      </c>
      <c r="GA25" s="272">
        <f t="shared" si="18"/>
        <v>2611.9</v>
      </c>
      <c r="GB25" s="272">
        <f t="shared" si="19"/>
        <v>4337.8</v>
      </c>
      <c r="GC25" s="272">
        <f t="shared" si="20"/>
        <v>4604.4</v>
      </c>
      <c r="GD25" s="272">
        <f t="shared" si="21"/>
        <v>3558.6</v>
      </c>
      <c r="GE25" s="18">
        <v>540.9</v>
      </c>
      <c r="GF25" s="18">
        <v>912.4</v>
      </c>
      <c r="GG25" s="18">
        <v>1158.6</v>
      </c>
      <c r="GH25" s="242">
        <v>1465.8</v>
      </c>
      <c r="GI25" s="242">
        <v>1438.9</v>
      </c>
      <c r="GJ25" s="242">
        <v>1433.1</v>
      </c>
      <c r="GK25" s="242">
        <v>1534.8</v>
      </c>
      <c r="GL25" s="242">
        <v>1474</v>
      </c>
      <c r="GM25" s="242">
        <v>1595.6</v>
      </c>
      <c r="GN25" s="242">
        <v>1428</v>
      </c>
      <c r="GO25" s="18">
        <v>1128.4</v>
      </c>
      <c r="GP25" s="242">
        <v>1002.2</v>
      </c>
      <c r="GQ25" s="193"/>
    </row>
    <row r="26" spans="1:199" ht="24">
      <c r="A26" s="108" t="s">
        <v>57</v>
      </c>
      <c r="B26" s="154" t="s">
        <v>73</v>
      </c>
      <c r="C26" s="181">
        <f t="shared" si="0"/>
        <v>22649.1</v>
      </c>
      <c r="D26" s="130">
        <f t="shared" si="26"/>
        <v>5380</v>
      </c>
      <c r="E26" s="130">
        <f t="shared" si="1"/>
        <v>3580.9</v>
      </c>
      <c r="F26" s="130">
        <f t="shared" si="2"/>
        <v>6511.3</v>
      </c>
      <c r="G26" s="130">
        <f t="shared" si="3"/>
        <v>7176.9</v>
      </c>
      <c r="H26" s="130">
        <v>1685.3</v>
      </c>
      <c r="I26" s="130">
        <v>1705.7</v>
      </c>
      <c r="J26" s="130">
        <v>1989</v>
      </c>
      <c r="K26" s="130">
        <v>1271.5</v>
      </c>
      <c r="L26" s="130">
        <v>1165.9</v>
      </c>
      <c r="M26" s="130">
        <v>1143.5</v>
      </c>
      <c r="N26" s="130">
        <v>1932.8</v>
      </c>
      <c r="O26" s="130">
        <v>2090</v>
      </c>
      <c r="P26" s="130">
        <v>2488.5</v>
      </c>
      <c r="Q26" s="130">
        <v>2196.6</v>
      </c>
      <c r="R26" s="130">
        <v>2377.5</v>
      </c>
      <c r="S26" s="130">
        <v>2602.8</v>
      </c>
      <c r="T26" s="127"/>
      <c r="U26" s="169">
        <f t="shared" si="27"/>
        <v>24371.2</v>
      </c>
      <c r="V26" s="134">
        <f t="shared" si="4"/>
        <v>6591.3</v>
      </c>
      <c r="W26" s="134">
        <f t="shared" si="5"/>
        <v>6385.3</v>
      </c>
      <c r="X26" s="134">
        <f t="shared" si="6"/>
        <v>6107.2</v>
      </c>
      <c r="Y26" s="134">
        <f t="shared" si="7"/>
        <v>5287.4</v>
      </c>
      <c r="Z26" s="127">
        <v>1742.1</v>
      </c>
      <c r="AA26" s="127">
        <v>2233.5</v>
      </c>
      <c r="AB26" s="127">
        <v>2615.7</v>
      </c>
      <c r="AC26" s="127">
        <v>2210.1</v>
      </c>
      <c r="AD26" s="127">
        <v>2166.5</v>
      </c>
      <c r="AE26" s="127">
        <v>2008.7</v>
      </c>
      <c r="AF26" s="127">
        <v>1911.9</v>
      </c>
      <c r="AG26" s="127">
        <v>2225.7</v>
      </c>
      <c r="AH26" s="127">
        <v>1969.6</v>
      </c>
      <c r="AI26" s="127">
        <v>1944.9</v>
      </c>
      <c r="AJ26" s="127">
        <v>1853.8</v>
      </c>
      <c r="AK26" s="132">
        <v>1488.7</v>
      </c>
      <c r="AL26" s="132"/>
      <c r="AM26" s="169">
        <f t="shared" si="8"/>
        <v>19660.2</v>
      </c>
      <c r="AN26" s="127">
        <f t="shared" si="28"/>
        <v>5356.7</v>
      </c>
      <c r="AO26" s="127">
        <f t="shared" si="22"/>
        <v>5145.3</v>
      </c>
      <c r="AP26" s="127">
        <f t="shared" si="23"/>
        <v>4859.7</v>
      </c>
      <c r="AQ26" s="127">
        <f t="shared" si="24"/>
        <v>4298.5</v>
      </c>
      <c r="AR26" s="127">
        <v>1853.4</v>
      </c>
      <c r="AS26" s="127">
        <v>1690.4</v>
      </c>
      <c r="AT26" s="127">
        <v>1812.9</v>
      </c>
      <c r="AU26" s="127">
        <v>1733.2</v>
      </c>
      <c r="AV26" s="127">
        <v>1742.4</v>
      </c>
      <c r="AW26" s="127">
        <v>1669.7</v>
      </c>
      <c r="AX26" s="127">
        <v>1504.9</v>
      </c>
      <c r="AY26" s="127">
        <v>1893.7</v>
      </c>
      <c r="AZ26" s="127">
        <v>1461.1</v>
      </c>
      <c r="BA26" s="132">
        <v>1349.1</v>
      </c>
      <c r="BB26" s="127">
        <v>1532.1</v>
      </c>
      <c r="BC26" s="127">
        <v>1417.3</v>
      </c>
      <c r="BD26" s="127"/>
      <c r="BE26" s="181">
        <f t="shared" si="41"/>
        <v>17222.1</v>
      </c>
      <c r="BF26" s="127">
        <f t="shared" si="29"/>
        <v>5149.1</v>
      </c>
      <c r="BG26" s="127">
        <f t="shared" si="30"/>
        <v>5548.1</v>
      </c>
      <c r="BH26" s="127">
        <f t="shared" si="31"/>
        <v>3142.4</v>
      </c>
      <c r="BI26" s="127">
        <f t="shared" si="25"/>
        <v>3382.5</v>
      </c>
      <c r="BJ26" s="127">
        <v>1600.5</v>
      </c>
      <c r="BK26" s="127">
        <v>1609.5</v>
      </c>
      <c r="BL26" s="127">
        <v>1939.1</v>
      </c>
      <c r="BM26" s="127">
        <v>1396.2</v>
      </c>
      <c r="BN26" s="127">
        <v>2036.6</v>
      </c>
      <c r="BO26" s="127">
        <v>2115.3</v>
      </c>
      <c r="BP26" s="127">
        <v>1232.9</v>
      </c>
      <c r="BQ26" s="127">
        <v>1055.5</v>
      </c>
      <c r="BR26" s="127">
        <v>854</v>
      </c>
      <c r="BS26" s="127">
        <f>807.6-0.1</f>
        <v>807.5</v>
      </c>
      <c r="BT26" s="127">
        <v>1186.8</v>
      </c>
      <c r="BU26" s="127">
        <v>1388.2</v>
      </c>
      <c r="BW26" s="169">
        <v>17287.9</v>
      </c>
      <c r="BX26" s="123">
        <f t="shared" si="33"/>
        <v>3610.1</v>
      </c>
      <c r="BY26" s="123">
        <f t="shared" si="34"/>
        <v>4628</v>
      </c>
      <c r="BZ26" s="123">
        <f t="shared" si="35"/>
        <v>4628.4</v>
      </c>
      <c r="CA26" s="123">
        <f t="shared" si="36"/>
        <v>4421.4</v>
      </c>
      <c r="CB26" s="127">
        <v>1120.4</v>
      </c>
      <c r="CC26" s="127">
        <v>1152.5</v>
      </c>
      <c r="CD26" s="127">
        <v>1337.2</v>
      </c>
      <c r="CE26" s="127">
        <v>1463.5</v>
      </c>
      <c r="CF26" s="127">
        <v>1543.2</v>
      </c>
      <c r="CG26" s="134">
        <v>1621.3</v>
      </c>
      <c r="CH26" s="127">
        <v>1793.4</v>
      </c>
      <c r="CI26" s="134">
        <v>1459.4</v>
      </c>
      <c r="CJ26" s="134">
        <v>1375.6</v>
      </c>
      <c r="CK26" s="134">
        <v>926.1</v>
      </c>
      <c r="CL26" s="134">
        <v>939.1</v>
      </c>
      <c r="CM26" s="134">
        <v>2556.2</v>
      </c>
      <c r="CN26" s="134"/>
      <c r="CO26" s="169">
        <v>36359</v>
      </c>
      <c r="CP26" s="134">
        <f t="shared" si="10"/>
        <v>5657.6</v>
      </c>
      <c r="CQ26" s="134">
        <f t="shared" si="42"/>
        <v>7067.8</v>
      </c>
      <c r="CR26" s="134">
        <f t="shared" si="37"/>
        <v>8550.5</v>
      </c>
      <c r="CS26" s="134">
        <f t="shared" si="11"/>
        <v>15083.1</v>
      </c>
      <c r="CT26" s="127">
        <v>1635.7</v>
      </c>
      <c r="CU26" s="127">
        <v>2290.1</v>
      </c>
      <c r="CV26" s="137">
        <v>1731.8</v>
      </c>
      <c r="CW26" s="134">
        <v>1742.2</v>
      </c>
      <c r="CX26" s="134">
        <v>1893.9</v>
      </c>
      <c r="CY26" s="134">
        <v>3431.7</v>
      </c>
      <c r="CZ26" s="134">
        <v>2951.5</v>
      </c>
      <c r="DA26" s="127">
        <v>2312.8</v>
      </c>
      <c r="DB26" s="127">
        <v>3286.2</v>
      </c>
      <c r="DC26" s="134">
        <v>4835.8</v>
      </c>
      <c r="DD26" s="134">
        <v>4807.2</v>
      </c>
      <c r="DE26" s="127">
        <v>5440.1</v>
      </c>
      <c r="DF26" s="127"/>
      <c r="DG26" s="181">
        <v>47741.1</v>
      </c>
      <c r="DH26" s="134">
        <f t="shared" si="12"/>
        <v>5671.9</v>
      </c>
      <c r="DI26" s="134">
        <f t="shared" si="13"/>
        <v>7220</v>
      </c>
      <c r="DJ26" s="134">
        <f t="shared" si="38"/>
        <v>11348.8</v>
      </c>
      <c r="DK26" s="134">
        <f t="shared" si="14"/>
        <v>23500.4</v>
      </c>
      <c r="DL26" s="127">
        <v>1979.2</v>
      </c>
      <c r="DM26" s="127">
        <v>580.2</v>
      </c>
      <c r="DN26" s="127">
        <v>3112.5</v>
      </c>
      <c r="DO26" s="127">
        <v>3064.9</v>
      </c>
      <c r="DP26" s="127">
        <v>2244.3</v>
      </c>
      <c r="DQ26" s="135">
        <v>1910.8</v>
      </c>
      <c r="DR26" s="134">
        <v>3221.5</v>
      </c>
      <c r="DS26" s="134">
        <v>4487.1</v>
      </c>
      <c r="DT26" s="127">
        <v>3640.2</v>
      </c>
      <c r="DU26" s="158">
        <v>2501.8</v>
      </c>
      <c r="DV26" s="192">
        <v>7617.5</v>
      </c>
      <c r="DW26" s="134">
        <v>13381.1</v>
      </c>
      <c r="DX26" s="134"/>
      <c r="DY26" s="169">
        <v>64729.2</v>
      </c>
      <c r="DZ26" s="134">
        <f t="shared" si="15"/>
        <v>19779.1</v>
      </c>
      <c r="EA26" s="134">
        <f t="shared" si="39"/>
        <v>10802.4</v>
      </c>
      <c r="EB26" s="134">
        <f t="shared" si="16"/>
        <v>7971.3</v>
      </c>
      <c r="EC26" s="134">
        <f t="shared" si="17"/>
        <v>26176.4</v>
      </c>
      <c r="ED26" s="18">
        <v>8203.7</v>
      </c>
      <c r="EE26" s="18">
        <v>4374.7</v>
      </c>
      <c r="EF26" s="18">
        <v>7200.7</v>
      </c>
      <c r="EG26" s="19">
        <v>2903.9</v>
      </c>
      <c r="EH26" s="18">
        <v>4528.2</v>
      </c>
      <c r="EI26" s="18">
        <v>3370.3</v>
      </c>
      <c r="EJ26" s="18">
        <v>2489.6</v>
      </c>
      <c r="EK26" s="18">
        <v>2790.4</v>
      </c>
      <c r="EL26" s="18">
        <v>2691.3</v>
      </c>
      <c r="EM26" s="134">
        <v>2414</v>
      </c>
      <c r="EN26" s="18">
        <v>6030.2</v>
      </c>
      <c r="EO26" s="134">
        <v>17732.2</v>
      </c>
      <c r="EP26" s="134"/>
      <c r="EQ26" s="247">
        <v>90922.6</v>
      </c>
      <c r="ER26" s="127">
        <v>24536.1</v>
      </c>
      <c r="ES26" s="127">
        <v>20507.7</v>
      </c>
      <c r="ET26" s="127">
        <v>23159.3</v>
      </c>
      <c r="EU26" s="127">
        <v>22719.5</v>
      </c>
      <c r="EV26" s="134">
        <v>10605.5</v>
      </c>
      <c r="EW26" s="18">
        <v>9283.9</v>
      </c>
      <c r="EX26" s="18">
        <v>4646.7</v>
      </c>
      <c r="EY26" s="134">
        <v>6844.1</v>
      </c>
      <c r="EZ26" s="192">
        <v>6961.5</v>
      </c>
      <c r="FA26" s="192">
        <v>6702.1</v>
      </c>
      <c r="FB26" s="192">
        <v>6557.2</v>
      </c>
      <c r="FC26" s="18">
        <v>8182.5</v>
      </c>
      <c r="FD26" s="192">
        <v>8419.6</v>
      </c>
      <c r="FE26" s="192">
        <v>7825.9</v>
      </c>
      <c r="FF26" s="192">
        <v>7495.2</v>
      </c>
      <c r="FG26" s="192">
        <v>7398.4</v>
      </c>
      <c r="FH26" s="192"/>
      <c r="FI26" s="269">
        <v>53810.3</v>
      </c>
      <c r="FJ26" s="192">
        <v>11211.1</v>
      </c>
      <c r="FK26" s="18">
        <v>7737.4</v>
      </c>
      <c r="FL26" s="18">
        <v>5346.7</v>
      </c>
      <c r="FM26" s="18">
        <v>29515.1</v>
      </c>
      <c r="FN26" s="18">
        <v>4380.1</v>
      </c>
      <c r="FO26" s="18">
        <v>3722.6</v>
      </c>
      <c r="FP26" s="19">
        <v>3108.4</v>
      </c>
      <c r="FQ26" s="242">
        <v>3040</v>
      </c>
      <c r="FR26" s="242">
        <v>2499.9</v>
      </c>
      <c r="FS26" s="18">
        <v>2197.5</v>
      </c>
      <c r="FT26" s="242">
        <v>2041.9</v>
      </c>
      <c r="FU26" s="242">
        <v>1569.7</v>
      </c>
      <c r="FV26" s="242">
        <v>1735.1</v>
      </c>
      <c r="FW26" s="242">
        <v>4324.1</v>
      </c>
      <c r="FX26" s="242">
        <v>12112.8</v>
      </c>
      <c r="FY26" s="242">
        <v>13078.2</v>
      </c>
      <c r="FZ26" s="242">
        <v>84352.7</v>
      </c>
      <c r="GA26" s="272">
        <f t="shared" si="18"/>
        <v>15862.3</v>
      </c>
      <c r="GB26" s="272">
        <f t="shared" si="19"/>
        <v>10778.1</v>
      </c>
      <c r="GC26" s="272">
        <f t="shared" si="20"/>
        <v>13176.5</v>
      </c>
      <c r="GD26" s="272">
        <f t="shared" si="21"/>
        <v>44535.8</v>
      </c>
      <c r="GE26" s="18">
        <v>5098.4</v>
      </c>
      <c r="GF26" s="18">
        <v>5019.6</v>
      </c>
      <c r="GG26" s="18">
        <v>5744.3</v>
      </c>
      <c r="GH26" s="242">
        <v>3432</v>
      </c>
      <c r="GI26" s="242">
        <v>4773.9</v>
      </c>
      <c r="GJ26" s="242">
        <v>2572.2</v>
      </c>
      <c r="GK26" s="242">
        <v>2780.3</v>
      </c>
      <c r="GL26" s="242">
        <v>2747.9</v>
      </c>
      <c r="GM26" s="242">
        <v>7648.3</v>
      </c>
      <c r="GN26" s="242">
        <v>11692.5</v>
      </c>
      <c r="GO26" s="18">
        <v>16161.6</v>
      </c>
      <c r="GP26" s="242">
        <v>16681.7</v>
      </c>
      <c r="GQ26" s="193"/>
    </row>
    <row r="27" spans="1:199" ht="12.75" customHeight="1">
      <c r="A27" s="108" t="s">
        <v>60</v>
      </c>
      <c r="B27" s="154" t="s">
        <v>74</v>
      </c>
      <c r="C27" s="181">
        <f t="shared" si="0"/>
        <v>378.7</v>
      </c>
      <c r="D27" s="127">
        <f t="shared" si="26"/>
        <v>60.1</v>
      </c>
      <c r="E27" s="127">
        <f t="shared" si="1"/>
        <v>116.4</v>
      </c>
      <c r="F27" s="127">
        <f t="shared" si="2"/>
        <v>89.9</v>
      </c>
      <c r="G27" s="127">
        <f t="shared" si="3"/>
        <v>112.3</v>
      </c>
      <c r="H27" s="127">
        <v>15.1</v>
      </c>
      <c r="I27" s="127">
        <v>19.9</v>
      </c>
      <c r="J27" s="127">
        <v>25.1</v>
      </c>
      <c r="K27" s="127">
        <v>23.5</v>
      </c>
      <c r="L27" s="127">
        <v>57.7</v>
      </c>
      <c r="M27" s="127">
        <v>35.2</v>
      </c>
      <c r="N27" s="127">
        <v>29.3</v>
      </c>
      <c r="O27" s="127">
        <v>31.3</v>
      </c>
      <c r="P27" s="127">
        <v>29.3</v>
      </c>
      <c r="Q27" s="127">
        <v>32.1</v>
      </c>
      <c r="R27" s="127">
        <v>22.3</v>
      </c>
      <c r="S27" s="127">
        <v>57.9</v>
      </c>
      <c r="T27" s="127"/>
      <c r="U27" s="169">
        <f t="shared" si="27"/>
        <v>948.2</v>
      </c>
      <c r="V27" s="134">
        <f t="shared" si="4"/>
        <v>122.8</v>
      </c>
      <c r="W27" s="134">
        <f t="shared" si="5"/>
        <v>111.3</v>
      </c>
      <c r="X27" s="134">
        <f t="shared" si="6"/>
        <v>199.3</v>
      </c>
      <c r="Y27" s="134">
        <f t="shared" si="7"/>
        <v>514.8</v>
      </c>
      <c r="Z27" s="127">
        <v>21.5</v>
      </c>
      <c r="AA27" s="127">
        <v>43.5</v>
      </c>
      <c r="AB27" s="127">
        <v>57.8</v>
      </c>
      <c r="AC27" s="127">
        <v>37.2</v>
      </c>
      <c r="AD27" s="127">
        <v>34.4</v>
      </c>
      <c r="AE27" s="127">
        <v>39.7</v>
      </c>
      <c r="AF27" s="127">
        <v>40.8</v>
      </c>
      <c r="AG27" s="127">
        <v>39.7</v>
      </c>
      <c r="AH27" s="127">
        <v>118.8</v>
      </c>
      <c r="AI27" s="127">
        <v>48.1</v>
      </c>
      <c r="AJ27" s="127">
        <v>98.1</v>
      </c>
      <c r="AK27" s="127">
        <v>368.6</v>
      </c>
      <c r="AL27" s="127"/>
      <c r="AM27" s="169">
        <f t="shared" si="8"/>
        <v>1139.1</v>
      </c>
      <c r="AN27" s="127">
        <f t="shared" si="28"/>
        <v>153.5</v>
      </c>
      <c r="AO27" s="127">
        <f t="shared" si="22"/>
        <v>262.9</v>
      </c>
      <c r="AP27" s="127">
        <f t="shared" si="23"/>
        <v>421.1</v>
      </c>
      <c r="AQ27" s="127">
        <f t="shared" si="24"/>
        <v>301.6</v>
      </c>
      <c r="AR27" s="127">
        <v>48.7</v>
      </c>
      <c r="AS27" s="127">
        <v>50.1</v>
      </c>
      <c r="AT27" s="127">
        <v>54.7</v>
      </c>
      <c r="AU27" s="127">
        <v>49.1</v>
      </c>
      <c r="AV27" s="127">
        <v>52.9</v>
      </c>
      <c r="AW27" s="127">
        <v>160.9</v>
      </c>
      <c r="AX27" s="127">
        <v>279.3</v>
      </c>
      <c r="AY27" s="127">
        <v>91.8</v>
      </c>
      <c r="AZ27" s="127">
        <v>50</v>
      </c>
      <c r="BA27" s="127">
        <v>201.6</v>
      </c>
      <c r="BB27" s="127">
        <v>51.7</v>
      </c>
      <c r="BC27" s="127">
        <v>48.3</v>
      </c>
      <c r="BD27" s="127"/>
      <c r="BE27" s="181">
        <f t="shared" si="41"/>
        <v>1180.5</v>
      </c>
      <c r="BF27" s="127">
        <f t="shared" si="29"/>
        <v>507</v>
      </c>
      <c r="BG27" s="127">
        <f t="shared" si="30"/>
        <v>201.4</v>
      </c>
      <c r="BH27" s="127">
        <f t="shared" si="31"/>
        <v>253</v>
      </c>
      <c r="BI27" s="127">
        <f t="shared" si="25"/>
        <v>219.1</v>
      </c>
      <c r="BJ27" s="127">
        <v>394.9</v>
      </c>
      <c r="BK27" s="127">
        <v>47.6</v>
      </c>
      <c r="BL27" s="127">
        <v>64.5</v>
      </c>
      <c r="BM27" s="127">
        <v>49</v>
      </c>
      <c r="BN27" s="127">
        <v>55.3</v>
      </c>
      <c r="BO27" s="127">
        <v>97.1</v>
      </c>
      <c r="BP27" s="127">
        <v>143.4</v>
      </c>
      <c r="BQ27" s="127">
        <v>55.6</v>
      </c>
      <c r="BR27" s="132">
        <v>54</v>
      </c>
      <c r="BS27" s="132">
        <v>48.5</v>
      </c>
      <c r="BT27" s="127">
        <f>56.5+1.6</f>
        <v>58.1</v>
      </c>
      <c r="BU27" s="132">
        <v>112.5</v>
      </c>
      <c r="BW27" s="169">
        <v>956.5</v>
      </c>
      <c r="BX27" s="123">
        <f t="shared" si="33"/>
        <v>291.9</v>
      </c>
      <c r="BY27" s="123">
        <f t="shared" si="34"/>
        <v>206.8</v>
      </c>
      <c r="BZ27" s="123">
        <f t="shared" si="35"/>
        <v>217.8</v>
      </c>
      <c r="CA27" s="123">
        <f t="shared" si="36"/>
        <v>240</v>
      </c>
      <c r="CB27" s="127">
        <v>120.8</v>
      </c>
      <c r="CC27" s="127">
        <v>89.1</v>
      </c>
      <c r="CD27" s="127">
        <v>82</v>
      </c>
      <c r="CE27" s="127">
        <v>68.5</v>
      </c>
      <c r="CF27" s="127">
        <v>79.3</v>
      </c>
      <c r="CG27" s="134">
        <v>59</v>
      </c>
      <c r="CH27" s="127">
        <v>62.2</v>
      </c>
      <c r="CI27" s="134">
        <v>81.3</v>
      </c>
      <c r="CJ27" s="134">
        <v>74.3</v>
      </c>
      <c r="CK27" s="134">
        <v>86</v>
      </c>
      <c r="CL27" s="134">
        <v>77.1</v>
      </c>
      <c r="CM27" s="134">
        <v>76.9</v>
      </c>
      <c r="CN27" s="134"/>
      <c r="CO27" s="169">
        <v>1034.4</v>
      </c>
      <c r="CP27" s="134">
        <f t="shared" si="10"/>
        <v>170</v>
      </c>
      <c r="CQ27" s="134">
        <f t="shared" si="42"/>
        <v>382.6</v>
      </c>
      <c r="CR27" s="134">
        <f t="shared" si="37"/>
        <v>206.7</v>
      </c>
      <c r="CS27" s="134">
        <f t="shared" si="11"/>
        <v>275.1</v>
      </c>
      <c r="CT27" s="127">
        <v>45.4</v>
      </c>
      <c r="CU27" s="127">
        <v>65.2</v>
      </c>
      <c r="CV27" s="137">
        <v>59.4</v>
      </c>
      <c r="CW27" s="134">
        <v>201.1</v>
      </c>
      <c r="CX27" s="134">
        <v>57.1</v>
      </c>
      <c r="CY27" s="134">
        <v>124.4</v>
      </c>
      <c r="CZ27" s="134">
        <v>51.4</v>
      </c>
      <c r="DA27" s="127">
        <v>63.3</v>
      </c>
      <c r="DB27" s="127">
        <v>92</v>
      </c>
      <c r="DC27" s="134">
        <v>112.9</v>
      </c>
      <c r="DD27" s="134">
        <v>63.7</v>
      </c>
      <c r="DE27" s="127">
        <v>98.5</v>
      </c>
      <c r="DF27" s="127"/>
      <c r="DG27" s="181">
        <v>924</v>
      </c>
      <c r="DH27" s="134">
        <f t="shared" si="12"/>
        <v>145.2</v>
      </c>
      <c r="DI27" s="134">
        <f t="shared" si="13"/>
        <v>287.1</v>
      </c>
      <c r="DJ27" s="134">
        <f t="shared" si="38"/>
        <v>316.7</v>
      </c>
      <c r="DK27" s="134">
        <f t="shared" si="14"/>
        <v>175</v>
      </c>
      <c r="DL27" s="127">
        <v>36.2</v>
      </c>
      <c r="DM27" s="127">
        <v>59</v>
      </c>
      <c r="DN27" s="127">
        <v>50</v>
      </c>
      <c r="DO27" s="127">
        <v>43.4</v>
      </c>
      <c r="DP27" s="127">
        <v>56.1</v>
      </c>
      <c r="DQ27" s="135">
        <v>187.6</v>
      </c>
      <c r="DR27" s="134">
        <v>102.8</v>
      </c>
      <c r="DS27" s="134">
        <v>65.6</v>
      </c>
      <c r="DT27" s="127">
        <v>148.3</v>
      </c>
      <c r="DU27" s="158">
        <v>59.1</v>
      </c>
      <c r="DV27" s="192">
        <v>53.6</v>
      </c>
      <c r="DW27" s="134">
        <v>62.3</v>
      </c>
      <c r="DX27" s="134"/>
      <c r="DY27" s="169">
        <v>897.9</v>
      </c>
      <c r="DZ27" s="134">
        <f t="shared" si="15"/>
        <v>305.7</v>
      </c>
      <c r="EA27" s="134">
        <f t="shared" si="39"/>
        <v>217.1</v>
      </c>
      <c r="EB27" s="134">
        <f t="shared" si="16"/>
        <v>117.6</v>
      </c>
      <c r="EC27" s="134">
        <f t="shared" si="17"/>
        <v>257.5</v>
      </c>
      <c r="ED27" s="18">
        <v>19</v>
      </c>
      <c r="EE27" s="18">
        <v>242.3</v>
      </c>
      <c r="EF27" s="18">
        <v>44.4</v>
      </c>
      <c r="EG27" s="18">
        <v>60.5</v>
      </c>
      <c r="EH27" s="18">
        <v>39.5</v>
      </c>
      <c r="EI27" s="19">
        <v>117.1</v>
      </c>
      <c r="EJ27" s="18">
        <v>32.3</v>
      </c>
      <c r="EK27" s="18">
        <v>34.7</v>
      </c>
      <c r="EL27" s="18">
        <v>50.6</v>
      </c>
      <c r="EM27" s="134">
        <v>44.3</v>
      </c>
      <c r="EN27" s="18">
        <v>126.1</v>
      </c>
      <c r="EO27" s="134">
        <v>87.1</v>
      </c>
      <c r="EP27" s="134"/>
      <c r="EQ27" s="247">
        <v>1669.3</v>
      </c>
      <c r="ER27" s="127">
        <v>224.8</v>
      </c>
      <c r="ES27" s="127">
        <v>326.9</v>
      </c>
      <c r="ET27" s="127">
        <v>225.4</v>
      </c>
      <c r="EU27" s="127">
        <v>892.2</v>
      </c>
      <c r="EV27" s="134">
        <v>71.8</v>
      </c>
      <c r="EW27" s="18">
        <v>67.7</v>
      </c>
      <c r="EX27" s="18">
        <v>85.3</v>
      </c>
      <c r="EY27" s="134">
        <v>166.6</v>
      </c>
      <c r="EZ27" s="192">
        <v>80.6</v>
      </c>
      <c r="FA27" s="192">
        <v>79.7</v>
      </c>
      <c r="FB27" s="192">
        <v>52.4</v>
      </c>
      <c r="FC27" s="18">
        <v>157.7</v>
      </c>
      <c r="FD27" s="192">
        <v>15.3</v>
      </c>
      <c r="FE27" s="192">
        <v>89.9</v>
      </c>
      <c r="FF27" s="192">
        <v>636.1</v>
      </c>
      <c r="FG27" s="192">
        <v>166.2</v>
      </c>
      <c r="FH27" s="192"/>
      <c r="FI27" s="269">
        <v>1258.2</v>
      </c>
      <c r="FJ27" s="192">
        <v>341.8</v>
      </c>
      <c r="FK27" s="18">
        <v>283.8</v>
      </c>
      <c r="FL27" s="18">
        <v>338.1</v>
      </c>
      <c r="FM27" s="18">
        <v>294.5</v>
      </c>
      <c r="FN27" s="18">
        <v>64.1</v>
      </c>
      <c r="FO27" s="18">
        <v>193.4</v>
      </c>
      <c r="FP27" s="18">
        <v>84.3</v>
      </c>
      <c r="FQ27" s="242">
        <v>94.4</v>
      </c>
      <c r="FR27" s="242">
        <v>113.2</v>
      </c>
      <c r="FS27" s="18">
        <v>76.2</v>
      </c>
      <c r="FT27" s="242">
        <v>86.1</v>
      </c>
      <c r="FU27" s="242">
        <v>164.7</v>
      </c>
      <c r="FV27" s="242">
        <v>87.3</v>
      </c>
      <c r="FW27" s="242">
        <v>96.2</v>
      </c>
      <c r="FX27" s="242">
        <v>105.2</v>
      </c>
      <c r="FY27" s="242">
        <v>93.1</v>
      </c>
      <c r="FZ27" s="242">
        <v>1022.9</v>
      </c>
      <c r="GA27" s="272">
        <f t="shared" si="18"/>
        <v>198</v>
      </c>
      <c r="GB27" s="272">
        <f t="shared" si="19"/>
        <v>245</v>
      </c>
      <c r="GC27" s="272">
        <f t="shared" si="20"/>
        <v>231.5</v>
      </c>
      <c r="GD27" s="272">
        <f t="shared" si="21"/>
        <v>348.4</v>
      </c>
      <c r="GE27" s="18">
        <v>73.3</v>
      </c>
      <c r="GF27" s="18">
        <v>56.4</v>
      </c>
      <c r="GG27" s="18">
        <v>68.3</v>
      </c>
      <c r="GH27" s="242">
        <v>95.7</v>
      </c>
      <c r="GI27" s="242">
        <v>80.8</v>
      </c>
      <c r="GJ27" s="242">
        <v>68.5</v>
      </c>
      <c r="GK27" s="242">
        <v>83.7</v>
      </c>
      <c r="GL27" s="242">
        <v>68.5</v>
      </c>
      <c r="GM27" s="242">
        <v>79.3</v>
      </c>
      <c r="GN27" s="242">
        <v>91.1</v>
      </c>
      <c r="GO27" s="18">
        <v>169.2</v>
      </c>
      <c r="GP27" s="242">
        <v>88.1</v>
      </c>
      <c r="GQ27" s="193"/>
    </row>
    <row r="28" spans="1:199" ht="24">
      <c r="A28" s="108" t="s">
        <v>58</v>
      </c>
      <c r="B28" s="154" t="s">
        <v>75</v>
      </c>
      <c r="C28" s="181">
        <f t="shared" si="0"/>
        <v>1590</v>
      </c>
      <c r="D28" s="127">
        <f t="shared" si="26"/>
        <v>375.6</v>
      </c>
      <c r="E28" s="127">
        <f t="shared" si="1"/>
        <v>332</v>
      </c>
      <c r="F28" s="127">
        <f t="shared" si="2"/>
        <v>411.5</v>
      </c>
      <c r="G28" s="127">
        <f t="shared" si="3"/>
        <v>470.9</v>
      </c>
      <c r="H28" s="127">
        <v>114.1</v>
      </c>
      <c r="I28" s="127">
        <v>133</v>
      </c>
      <c r="J28" s="127">
        <v>128.5</v>
      </c>
      <c r="K28" s="127">
        <v>125.1</v>
      </c>
      <c r="L28" s="127">
        <v>117.7</v>
      </c>
      <c r="M28" s="127">
        <v>89.2</v>
      </c>
      <c r="N28" s="127">
        <v>71.5</v>
      </c>
      <c r="O28" s="127">
        <v>132.4</v>
      </c>
      <c r="P28" s="127">
        <v>207.6</v>
      </c>
      <c r="Q28" s="127">
        <v>150.4</v>
      </c>
      <c r="R28" s="127">
        <v>122.8</v>
      </c>
      <c r="S28" s="127">
        <v>197.7</v>
      </c>
      <c r="T28" s="127"/>
      <c r="U28" s="169">
        <f t="shared" si="27"/>
        <v>1411.5</v>
      </c>
      <c r="V28" s="134">
        <f t="shared" si="4"/>
        <v>350.5</v>
      </c>
      <c r="W28" s="134">
        <f t="shared" si="5"/>
        <v>336.1</v>
      </c>
      <c r="X28" s="134">
        <f t="shared" si="6"/>
        <v>303</v>
      </c>
      <c r="Y28" s="134">
        <f t="shared" si="7"/>
        <v>421.9</v>
      </c>
      <c r="Z28" s="127">
        <v>126.9</v>
      </c>
      <c r="AA28" s="127">
        <v>89.9</v>
      </c>
      <c r="AB28" s="127">
        <v>133.7</v>
      </c>
      <c r="AC28" s="127">
        <v>122</v>
      </c>
      <c r="AD28" s="127">
        <v>119.8</v>
      </c>
      <c r="AE28" s="127">
        <v>94.3</v>
      </c>
      <c r="AF28" s="127">
        <v>52.8</v>
      </c>
      <c r="AG28" s="127">
        <v>111.5</v>
      </c>
      <c r="AH28" s="127">
        <v>138.7</v>
      </c>
      <c r="AI28" s="127">
        <v>127.8</v>
      </c>
      <c r="AJ28" s="127">
        <v>137.5</v>
      </c>
      <c r="AK28" s="132">
        <v>156.6</v>
      </c>
      <c r="AL28" s="132"/>
      <c r="AM28" s="169">
        <f t="shared" si="8"/>
        <v>1057</v>
      </c>
      <c r="AN28" s="127">
        <f t="shared" si="28"/>
        <v>268.3</v>
      </c>
      <c r="AO28" s="127">
        <f t="shared" si="22"/>
        <v>209.7</v>
      </c>
      <c r="AP28" s="127">
        <f t="shared" si="23"/>
        <v>246.4</v>
      </c>
      <c r="AQ28" s="127">
        <f t="shared" si="24"/>
        <v>332.6</v>
      </c>
      <c r="AR28" s="132">
        <v>87</v>
      </c>
      <c r="AS28" s="132">
        <v>81.6</v>
      </c>
      <c r="AT28" s="132">
        <v>99.7</v>
      </c>
      <c r="AU28" s="132">
        <v>86.7</v>
      </c>
      <c r="AV28" s="132">
        <v>81.1</v>
      </c>
      <c r="AW28" s="132">
        <v>41.9</v>
      </c>
      <c r="AX28" s="132">
        <v>90.4</v>
      </c>
      <c r="AY28" s="127">
        <v>67.6</v>
      </c>
      <c r="AZ28" s="127">
        <v>88.4</v>
      </c>
      <c r="BA28" s="132">
        <v>99.3</v>
      </c>
      <c r="BB28" s="127">
        <v>115.2</v>
      </c>
      <c r="BC28" s="127">
        <v>118.1</v>
      </c>
      <c r="BD28" s="127"/>
      <c r="BE28" s="181">
        <f t="shared" si="41"/>
        <v>1057.5</v>
      </c>
      <c r="BF28" s="127">
        <f t="shared" si="29"/>
        <v>218.9</v>
      </c>
      <c r="BG28" s="127">
        <f t="shared" si="30"/>
        <v>252.5</v>
      </c>
      <c r="BH28" s="127">
        <f t="shared" si="31"/>
        <v>237.5</v>
      </c>
      <c r="BI28" s="127">
        <f t="shared" si="25"/>
        <v>348.6</v>
      </c>
      <c r="BJ28" s="127">
        <v>42.1</v>
      </c>
      <c r="BK28" s="127">
        <v>79.6</v>
      </c>
      <c r="BL28" s="127">
        <v>97.2</v>
      </c>
      <c r="BM28" s="127">
        <v>112.1</v>
      </c>
      <c r="BN28" s="127">
        <v>34.1</v>
      </c>
      <c r="BO28" s="127">
        <v>106.3</v>
      </c>
      <c r="BP28" s="127">
        <v>31.1</v>
      </c>
      <c r="BQ28" s="127">
        <v>101</v>
      </c>
      <c r="BR28" s="127">
        <v>105.4</v>
      </c>
      <c r="BS28" s="127">
        <v>103.6</v>
      </c>
      <c r="BT28" s="127">
        <v>119.7</v>
      </c>
      <c r="BU28" s="127">
        <v>125.3</v>
      </c>
      <c r="BW28" s="169">
        <v>1183.7</v>
      </c>
      <c r="BX28" s="123">
        <f t="shared" si="33"/>
        <v>345.2</v>
      </c>
      <c r="BY28" s="123">
        <f t="shared" si="34"/>
        <v>320.7</v>
      </c>
      <c r="BZ28" s="123">
        <f t="shared" si="35"/>
        <v>237.1</v>
      </c>
      <c r="CA28" s="123">
        <f t="shared" si="36"/>
        <v>280.7</v>
      </c>
      <c r="CB28" s="127">
        <v>111.7</v>
      </c>
      <c r="CC28" s="127">
        <v>126.5</v>
      </c>
      <c r="CD28" s="127">
        <v>107</v>
      </c>
      <c r="CE28" s="127">
        <v>124</v>
      </c>
      <c r="CF28" s="127">
        <v>98.6</v>
      </c>
      <c r="CG28" s="134">
        <v>98.1</v>
      </c>
      <c r="CH28" s="132">
        <v>124.6</v>
      </c>
      <c r="CI28" s="134">
        <v>47.8</v>
      </c>
      <c r="CJ28" s="134">
        <v>64.7</v>
      </c>
      <c r="CK28" s="134">
        <v>71.9</v>
      </c>
      <c r="CL28" s="134">
        <v>92.9</v>
      </c>
      <c r="CM28" s="134">
        <v>115.9</v>
      </c>
      <c r="CN28" s="134"/>
      <c r="CO28" s="169">
        <v>1672.1</v>
      </c>
      <c r="CP28" s="134">
        <f t="shared" si="10"/>
        <v>372.8</v>
      </c>
      <c r="CQ28" s="134">
        <f t="shared" si="42"/>
        <v>345.9</v>
      </c>
      <c r="CR28" s="134">
        <f t="shared" si="37"/>
        <v>425.6</v>
      </c>
      <c r="CS28" s="134">
        <f t="shared" si="11"/>
        <v>527.8</v>
      </c>
      <c r="CT28" s="127">
        <v>149.6</v>
      </c>
      <c r="CU28" s="127">
        <v>91.8</v>
      </c>
      <c r="CV28" s="137">
        <v>131.4</v>
      </c>
      <c r="CW28" s="134">
        <v>139.7</v>
      </c>
      <c r="CX28" s="134">
        <v>88.9</v>
      </c>
      <c r="CY28" s="134">
        <v>117.3</v>
      </c>
      <c r="CZ28" s="134">
        <v>136.2</v>
      </c>
      <c r="DA28" s="127">
        <v>160.2</v>
      </c>
      <c r="DB28" s="127">
        <v>129.2</v>
      </c>
      <c r="DC28" s="134">
        <v>140.2</v>
      </c>
      <c r="DD28" s="134">
        <v>190</v>
      </c>
      <c r="DE28" s="127">
        <v>197.6</v>
      </c>
      <c r="DF28" s="127"/>
      <c r="DG28" s="181">
        <v>1348.7</v>
      </c>
      <c r="DH28" s="134">
        <f t="shared" si="12"/>
        <v>173</v>
      </c>
      <c r="DI28" s="134">
        <f t="shared" si="13"/>
        <v>306.3</v>
      </c>
      <c r="DJ28" s="134">
        <f t="shared" si="38"/>
        <v>376</v>
      </c>
      <c r="DK28" s="134">
        <f t="shared" si="14"/>
        <v>493.4</v>
      </c>
      <c r="DL28" s="127">
        <v>30.8</v>
      </c>
      <c r="DM28" s="127">
        <v>30.8</v>
      </c>
      <c r="DN28" s="127">
        <v>111.4</v>
      </c>
      <c r="DO28" s="127">
        <v>102.9</v>
      </c>
      <c r="DP28" s="127">
        <v>103.5</v>
      </c>
      <c r="DQ28" s="135">
        <v>99.9</v>
      </c>
      <c r="DR28" s="134">
        <v>94.7</v>
      </c>
      <c r="DS28" s="134">
        <v>104.1</v>
      </c>
      <c r="DT28" s="127">
        <v>177.2</v>
      </c>
      <c r="DU28" s="158">
        <v>157.6</v>
      </c>
      <c r="DV28" s="192">
        <v>166.3</v>
      </c>
      <c r="DW28" s="134">
        <v>169.5</v>
      </c>
      <c r="DX28" s="134"/>
      <c r="DY28" s="169">
        <v>1517.2</v>
      </c>
      <c r="DZ28" s="134">
        <f t="shared" si="15"/>
        <v>351.2</v>
      </c>
      <c r="EA28" s="134">
        <f t="shared" si="39"/>
        <v>349.7</v>
      </c>
      <c r="EB28" s="134">
        <f t="shared" si="16"/>
        <v>364.2</v>
      </c>
      <c r="EC28" s="134">
        <f t="shared" si="17"/>
        <v>452.1</v>
      </c>
      <c r="ED28" s="18">
        <v>110</v>
      </c>
      <c r="EE28" s="18">
        <v>112.6</v>
      </c>
      <c r="EF28" s="18">
        <v>128.6</v>
      </c>
      <c r="EG28" s="18">
        <v>115.4</v>
      </c>
      <c r="EH28" s="19">
        <v>124.5</v>
      </c>
      <c r="EI28" s="18">
        <v>109.8</v>
      </c>
      <c r="EJ28" s="18">
        <v>105.2</v>
      </c>
      <c r="EK28" s="18">
        <v>132.6</v>
      </c>
      <c r="EL28" s="18">
        <v>126.4</v>
      </c>
      <c r="EM28" s="134">
        <v>140.5</v>
      </c>
      <c r="EN28" s="18">
        <v>165.5</v>
      </c>
      <c r="EO28" s="134">
        <v>146.1</v>
      </c>
      <c r="EP28" s="134"/>
      <c r="EQ28" s="247">
        <v>1536.8</v>
      </c>
      <c r="ER28" s="127">
        <v>361.7</v>
      </c>
      <c r="ES28" s="127">
        <v>359.4</v>
      </c>
      <c r="ET28" s="127">
        <v>355.7</v>
      </c>
      <c r="EU28" s="127">
        <v>460</v>
      </c>
      <c r="EV28" s="134">
        <v>111.8</v>
      </c>
      <c r="EW28" s="18">
        <v>124.7</v>
      </c>
      <c r="EX28" s="18">
        <v>125.2</v>
      </c>
      <c r="EY28" s="134">
        <v>124.6</v>
      </c>
      <c r="EZ28" s="192">
        <v>117.9</v>
      </c>
      <c r="FA28" s="192">
        <v>116.9</v>
      </c>
      <c r="FB28" s="192">
        <v>105.6</v>
      </c>
      <c r="FC28" s="18">
        <v>101.2</v>
      </c>
      <c r="FD28" s="192">
        <v>148.9</v>
      </c>
      <c r="FE28" s="192">
        <v>133.4</v>
      </c>
      <c r="FF28" s="192">
        <v>149.7</v>
      </c>
      <c r="FG28" s="192">
        <v>176.9</v>
      </c>
      <c r="FH28" s="192"/>
      <c r="FI28" s="269">
        <v>1677.8</v>
      </c>
      <c r="FJ28" s="192">
        <v>420.8</v>
      </c>
      <c r="FK28" s="18">
        <v>377.8</v>
      </c>
      <c r="FL28" s="18">
        <v>359</v>
      </c>
      <c r="FM28" s="18">
        <v>520.2</v>
      </c>
      <c r="FN28" s="18">
        <v>139.9</v>
      </c>
      <c r="FO28" s="18">
        <v>138.2</v>
      </c>
      <c r="FP28" s="19">
        <v>142.7</v>
      </c>
      <c r="FQ28" s="242">
        <v>153</v>
      </c>
      <c r="FR28" s="242">
        <v>122.4</v>
      </c>
      <c r="FS28" s="18">
        <v>102.4</v>
      </c>
      <c r="FT28" s="242">
        <v>95.3</v>
      </c>
      <c r="FU28" s="242">
        <v>127.2</v>
      </c>
      <c r="FV28" s="242">
        <v>136.5</v>
      </c>
      <c r="FW28" s="242">
        <v>173.9</v>
      </c>
      <c r="FX28" s="242">
        <v>176.5</v>
      </c>
      <c r="FY28" s="242">
        <v>169.8</v>
      </c>
      <c r="FZ28" s="242">
        <v>1901.5</v>
      </c>
      <c r="GA28" s="272">
        <f t="shared" si="18"/>
        <v>474.1</v>
      </c>
      <c r="GB28" s="272">
        <f t="shared" si="19"/>
        <v>450.4</v>
      </c>
      <c r="GC28" s="272">
        <f t="shared" si="20"/>
        <v>441.2</v>
      </c>
      <c r="GD28" s="272">
        <f t="shared" si="21"/>
        <v>535.8</v>
      </c>
      <c r="GE28" s="18">
        <v>142.8</v>
      </c>
      <c r="GF28" s="18">
        <v>166.9</v>
      </c>
      <c r="GG28" s="18">
        <v>164.4</v>
      </c>
      <c r="GH28" s="242">
        <v>165.3</v>
      </c>
      <c r="GI28" s="242">
        <v>136.4</v>
      </c>
      <c r="GJ28" s="242">
        <v>148.7</v>
      </c>
      <c r="GK28" s="242">
        <v>134.3</v>
      </c>
      <c r="GL28" s="242">
        <v>151.5</v>
      </c>
      <c r="GM28" s="242">
        <v>155.4</v>
      </c>
      <c r="GN28" s="242">
        <v>165.8</v>
      </c>
      <c r="GO28" s="18">
        <v>183</v>
      </c>
      <c r="GP28" s="242">
        <v>187</v>
      </c>
      <c r="GQ28" s="193"/>
    </row>
    <row r="29" spans="1:199" ht="12">
      <c r="A29" s="108" t="s">
        <v>59</v>
      </c>
      <c r="B29" s="154" t="s">
        <v>80</v>
      </c>
      <c r="C29" s="181">
        <f t="shared" si="0"/>
        <v>177</v>
      </c>
      <c r="D29" s="127">
        <f t="shared" si="26"/>
        <v>44.6</v>
      </c>
      <c r="E29" s="127">
        <f t="shared" si="1"/>
        <v>45.6</v>
      </c>
      <c r="F29" s="127">
        <f t="shared" si="2"/>
        <v>43.2</v>
      </c>
      <c r="G29" s="127">
        <f t="shared" si="3"/>
        <v>43.6</v>
      </c>
      <c r="H29" s="127">
        <v>10.8</v>
      </c>
      <c r="I29" s="127">
        <v>15.1</v>
      </c>
      <c r="J29" s="127">
        <v>18.7</v>
      </c>
      <c r="K29" s="127">
        <v>18.2</v>
      </c>
      <c r="L29" s="127">
        <v>15.4</v>
      </c>
      <c r="M29" s="127">
        <v>12</v>
      </c>
      <c r="N29" s="127">
        <v>14.7</v>
      </c>
      <c r="O29" s="127">
        <v>13.7</v>
      </c>
      <c r="P29" s="127">
        <v>14.8</v>
      </c>
      <c r="Q29" s="127">
        <v>15.4</v>
      </c>
      <c r="R29" s="127">
        <v>13.4</v>
      </c>
      <c r="S29" s="127">
        <v>14.8</v>
      </c>
      <c r="T29" s="127"/>
      <c r="U29" s="169">
        <f t="shared" si="27"/>
        <v>220.8</v>
      </c>
      <c r="V29" s="134">
        <f t="shared" si="4"/>
        <v>50.5</v>
      </c>
      <c r="W29" s="134">
        <f t="shared" si="5"/>
        <v>47.6</v>
      </c>
      <c r="X29" s="134">
        <f t="shared" si="6"/>
        <v>59</v>
      </c>
      <c r="Y29" s="134">
        <f t="shared" si="7"/>
        <v>63.7</v>
      </c>
      <c r="Z29" s="127">
        <v>15.2</v>
      </c>
      <c r="AA29" s="127">
        <v>13.4</v>
      </c>
      <c r="AB29" s="127">
        <v>21.9</v>
      </c>
      <c r="AC29" s="127">
        <v>20.8</v>
      </c>
      <c r="AD29" s="127">
        <v>15.3</v>
      </c>
      <c r="AE29" s="127">
        <v>11.5</v>
      </c>
      <c r="AF29" s="127">
        <v>22.9</v>
      </c>
      <c r="AG29" s="127">
        <v>15.2</v>
      </c>
      <c r="AH29" s="127">
        <v>20.9</v>
      </c>
      <c r="AI29" s="127">
        <v>22</v>
      </c>
      <c r="AJ29" s="127">
        <v>20.1</v>
      </c>
      <c r="AK29" s="127">
        <v>21.6</v>
      </c>
      <c r="AL29" s="127"/>
      <c r="AM29" s="169">
        <f t="shared" si="8"/>
        <v>237.5</v>
      </c>
      <c r="AN29" s="127">
        <f t="shared" si="28"/>
        <v>54.9</v>
      </c>
      <c r="AO29" s="127">
        <f t="shared" si="22"/>
        <v>64.7</v>
      </c>
      <c r="AP29" s="127">
        <f t="shared" si="23"/>
        <v>52.9</v>
      </c>
      <c r="AQ29" s="127">
        <f t="shared" si="24"/>
        <v>65</v>
      </c>
      <c r="AR29" s="132">
        <v>15.2</v>
      </c>
      <c r="AS29" s="132">
        <v>19.8</v>
      </c>
      <c r="AT29" s="132">
        <v>19.9</v>
      </c>
      <c r="AU29" s="132">
        <v>24.5</v>
      </c>
      <c r="AV29" s="132">
        <v>16.9</v>
      </c>
      <c r="AW29" s="132">
        <v>23.3</v>
      </c>
      <c r="AX29" s="132">
        <v>19.2</v>
      </c>
      <c r="AY29" s="132">
        <v>20.1</v>
      </c>
      <c r="AZ29" s="132">
        <v>13.6</v>
      </c>
      <c r="BA29" s="132">
        <v>28.1</v>
      </c>
      <c r="BB29" s="127">
        <v>18.6</v>
      </c>
      <c r="BC29" s="127">
        <v>18.3</v>
      </c>
      <c r="BD29" s="127"/>
      <c r="BE29" s="181">
        <f t="shared" si="41"/>
        <v>179.5</v>
      </c>
      <c r="BF29" s="127">
        <f t="shared" si="29"/>
        <v>56.4</v>
      </c>
      <c r="BG29" s="127">
        <f t="shared" si="30"/>
        <v>34.7</v>
      </c>
      <c r="BH29" s="127">
        <f t="shared" si="31"/>
        <v>45.8</v>
      </c>
      <c r="BI29" s="127">
        <f t="shared" si="25"/>
        <v>42.6</v>
      </c>
      <c r="BJ29" s="127">
        <v>19.3</v>
      </c>
      <c r="BK29" s="127">
        <v>19.5</v>
      </c>
      <c r="BL29" s="127">
        <v>17.6</v>
      </c>
      <c r="BM29" s="127">
        <v>15.6</v>
      </c>
      <c r="BN29" s="127">
        <v>11.5</v>
      </c>
      <c r="BO29" s="127">
        <v>7.6</v>
      </c>
      <c r="BP29" s="127">
        <v>12.2</v>
      </c>
      <c r="BQ29" s="127">
        <v>16.8</v>
      </c>
      <c r="BR29" s="132">
        <v>16.8</v>
      </c>
      <c r="BS29" s="132">
        <v>11.8</v>
      </c>
      <c r="BT29" s="127">
        <v>11.8</v>
      </c>
      <c r="BU29" s="132">
        <v>19</v>
      </c>
      <c r="BW29" s="169">
        <v>223.1</v>
      </c>
      <c r="BX29" s="123">
        <f t="shared" si="33"/>
        <v>13.9</v>
      </c>
      <c r="BY29" s="123">
        <f t="shared" si="34"/>
        <v>64.8</v>
      </c>
      <c r="BZ29" s="123">
        <f t="shared" si="35"/>
        <v>61.5</v>
      </c>
      <c r="CA29" s="123">
        <f t="shared" si="36"/>
        <v>82.9</v>
      </c>
      <c r="CB29" s="127">
        <v>4.6</v>
      </c>
      <c r="CC29" s="127">
        <v>4.7</v>
      </c>
      <c r="CD29" s="127">
        <v>4.6</v>
      </c>
      <c r="CE29" s="127">
        <v>6.1</v>
      </c>
      <c r="CF29" s="127">
        <v>31.1</v>
      </c>
      <c r="CG29" s="134">
        <v>27.6</v>
      </c>
      <c r="CH29" s="127">
        <v>17</v>
      </c>
      <c r="CI29" s="134">
        <v>16.9</v>
      </c>
      <c r="CJ29" s="134">
        <v>27.6</v>
      </c>
      <c r="CK29" s="134">
        <v>29.1</v>
      </c>
      <c r="CL29" s="134">
        <v>28.1</v>
      </c>
      <c r="CM29" s="134">
        <v>25.7</v>
      </c>
      <c r="CN29" s="134"/>
      <c r="CO29" s="169">
        <v>374</v>
      </c>
      <c r="CP29" s="134">
        <f t="shared" si="10"/>
        <v>57.3</v>
      </c>
      <c r="CQ29" s="134">
        <f t="shared" si="42"/>
        <v>79.2</v>
      </c>
      <c r="CR29" s="134">
        <f t="shared" si="37"/>
        <v>72.6</v>
      </c>
      <c r="CS29" s="134">
        <f t="shared" si="11"/>
        <v>164.9</v>
      </c>
      <c r="CT29" s="127">
        <v>7.2</v>
      </c>
      <c r="CU29" s="127">
        <v>21.3</v>
      </c>
      <c r="CV29" s="137">
        <v>28.8</v>
      </c>
      <c r="CW29" s="134">
        <v>29.5</v>
      </c>
      <c r="CX29" s="134">
        <v>21.5</v>
      </c>
      <c r="CY29" s="134">
        <v>28.2</v>
      </c>
      <c r="CZ29" s="134">
        <v>30.9</v>
      </c>
      <c r="DA29" s="127">
        <v>24.6</v>
      </c>
      <c r="DB29" s="127">
        <v>17.1</v>
      </c>
      <c r="DC29" s="134">
        <v>37.4</v>
      </c>
      <c r="DD29" s="134">
        <v>81</v>
      </c>
      <c r="DE29" s="127">
        <v>46.5</v>
      </c>
      <c r="DF29" s="127"/>
      <c r="DG29" s="181">
        <v>435.6</v>
      </c>
      <c r="DH29" s="134">
        <f t="shared" si="12"/>
        <v>94.4</v>
      </c>
      <c r="DI29" s="134">
        <f t="shared" si="13"/>
        <v>95</v>
      </c>
      <c r="DJ29" s="134">
        <f t="shared" si="38"/>
        <v>103.8</v>
      </c>
      <c r="DK29" s="134">
        <f t="shared" si="14"/>
        <v>142.4</v>
      </c>
      <c r="DL29" s="127">
        <v>23.3</v>
      </c>
      <c r="DM29" s="127">
        <v>24.9</v>
      </c>
      <c r="DN29" s="127">
        <v>46.2</v>
      </c>
      <c r="DO29" s="127">
        <v>17.5</v>
      </c>
      <c r="DP29" s="127">
        <v>23.9</v>
      </c>
      <c r="DQ29" s="135">
        <v>53.6</v>
      </c>
      <c r="DR29" s="134">
        <v>9.9</v>
      </c>
      <c r="DS29" s="134">
        <v>35.1</v>
      </c>
      <c r="DT29" s="127">
        <v>58.8</v>
      </c>
      <c r="DU29" s="158">
        <v>48.1</v>
      </c>
      <c r="DV29" s="192">
        <v>49.4</v>
      </c>
      <c r="DW29" s="134">
        <v>44.9</v>
      </c>
      <c r="DX29" s="134"/>
      <c r="DY29" s="169">
        <v>315.2</v>
      </c>
      <c r="DZ29" s="134">
        <f t="shared" si="15"/>
        <v>70.8</v>
      </c>
      <c r="EA29" s="134">
        <f t="shared" si="39"/>
        <v>58.8</v>
      </c>
      <c r="EB29" s="134">
        <f t="shared" si="16"/>
        <v>76.5</v>
      </c>
      <c r="EC29" s="134">
        <f t="shared" si="17"/>
        <v>109.1</v>
      </c>
      <c r="ED29" s="18">
        <v>34.8</v>
      </c>
      <c r="EE29" s="19">
        <v>20.8</v>
      </c>
      <c r="EF29" s="18">
        <v>15.2</v>
      </c>
      <c r="EG29" s="18">
        <v>10.1</v>
      </c>
      <c r="EH29" s="18">
        <v>21.7</v>
      </c>
      <c r="EI29" s="18">
        <v>27</v>
      </c>
      <c r="EJ29" s="19">
        <v>24.4</v>
      </c>
      <c r="EK29" s="18">
        <v>29</v>
      </c>
      <c r="EL29" s="18">
        <v>23.1</v>
      </c>
      <c r="EM29" s="134">
        <v>34.3</v>
      </c>
      <c r="EN29" s="18">
        <v>36.8</v>
      </c>
      <c r="EO29" s="134">
        <v>38</v>
      </c>
      <c r="EP29" s="134"/>
      <c r="EQ29" s="247">
        <v>648.7</v>
      </c>
      <c r="ER29" s="127">
        <v>139.2</v>
      </c>
      <c r="ES29" s="127">
        <v>173.6</v>
      </c>
      <c r="ET29" s="127">
        <v>159.4</v>
      </c>
      <c r="EU29" s="127">
        <v>176.5</v>
      </c>
      <c r="EV29" s="134">
        <v>33.4</v>
      </c>
      <c r="EW29" s="18">
        <v>49.5</v>
      </c>
      <c r="EX29" s="18">
        <v>56.3</v>
      </c>
      <c r="EY29" s="134">
        <v>55.7</v>
      </c>
      <c r="EZ29" s="192">
        <v>52.9</v>
      </c>
      <c r="FA29" s="192">
        <v>65</v>
      </c>
      <c r="FB29" s="192">
        <v>58.8</v>
      </c>
      <c r="FC29" s="18">
        <v>55.2</v>
      </c>
      <c r="FD29" s="192">
        <v>45.4</v>
      </c>
      <c r="FE29" s="192">
        <v>55.8</v>
      </c>
      <c r="FF29" s="192">
        <v>61.6</v>
      </c>
      <c r="FG29" s="192">
        <v>59.1</v>
      </c>
      <c r="FH29" s="192"/>
      <c r="FI29" s="269">
        <v>850.4</v>
      </c>
      <c r="FJ29" s="192">
        <v>174.1</v>
      </c>
      <c r="FK29" s="18">
        <v>207.8</v>
      </c>
      <c r="FL29" s="18">
        <v>205.3</v>
      </c>
      <c r="FM29" s="18">
        <v>263.2</v>
      </c>
      <c r="FN29" s="18">
        <v>54</v>
      </c>
      <c r="FO29" s="18">
        <v>54.7</v>
      </c>
      <c r="FP29" s="18">
        <v>65.4</v>
      </c>
      <c r="FQ29" s="242">
        <v>75.2</v>
      </c>
      <c r="FR29" s="242">
        <v>69.1</v>
      </c>
      <c r="FS29" s="18">
        <v>63.5</v>
      </c>
      <c r="FT29" s="242">
        <v>69</v>
      </c>
      <c r="FU29" s="242">
        <v>60.5</v>
      </c>
      <c r="FV29" s="242">
        <v>75.8</v>
      </c>
      <c r="FW29" s="242">
        <v>85.9</v>
      </c>
      <c r="FX29" s="242">
        <v>92.2</v>
      </c>
      <c r="FY29" s="242">
        <v>85.1</v>
      </c>
      <c r="FZ29" s="242">
        <v>1074.2</v>
      </c>
      <c r="GA29" s="272">
        <f t="shared" si="18"/>
        <v>267.1</v>
      </c>
      <c r="GB29" s="272">
        <f t="shared" si="19"/>
        <v>265.8</v>
      </c>
      <c r="GC29" s="272">
        <f t="shared" si="20"/>
        <v>281.1</v>
      </c>
      <c r="GD29" s="272">
        <f t="shared" si="21"/>
        <v>260.2</v>
      </c>
      <c r="GE29" s="18">
        <v>82.1</v>
      </c>
      <c r="GF29" s="18">
        <v>92.7</v>
      </c>
      <c r="GG29" s="18">
        <v>92.3</v>
      </c>
      <c r="GH29" s="242">
        <v>96.7</v>
      </c>
      <c r="GI29" s="242">
        <v>87.6</v>
      </c>
      <c r="GJ29" s="242">
        <v>81.5</v>
      </c>
      <c r="GK29" s="242">
        <v>87.9</v>
      </c>
      <c r="GL29" s="242">
        <v>96.8</v>
      </c>
      <c r="GM29" s="242">
        <v>96.4</v>
      </c>
      <c r="GN29" s="242">
        <v>96.6</v>
      </c>
      <c r="GO29" s="18">
        <v>81.8</v>
      </c>
      <c r="GP29" s="242">
        <v>81.8</v>
      </c>
      <c r="GQ29" s="193"/>
    </row>
    <row r="30" spans="1:199" ht="12">
      <c r="A30" s="108" t="s">
        <v>41</v>
      </c>
      <c r="B30" s="154" t="s">
        <v>76</v>
      </c>
      <c r="C30" s="181">
        <f t="shared" si="0"/>
        <v>251.9</v>
      </c>
      <c r="D30" s="127">
        <f t="shared" si="26"/>
        <v>56.9</v>
      </c>
      <c r="E30" s="127">
        <f t="shared" si="1"/>
        <v>61.1</v>
      </c>
      <c r="F30" s="127">
        <f t="shared" si="2"/>
        <v>61.1</v>
      </c>
      <c r="G30" s="127">
        <f t="shared" si="3"/>
        <v>72.8</v>
      </c>
      <c r="H30" s="127">
        <v>14.9</v>
      </c>
      <c r="I30" s="127">
        <v>19</v>
      </c>
      <c r="J30" s="127">
        <v>23</v>
      </c>
      <c r="K30" s="127">
        <v>22.1</v>
      </c>
      <c r="L30" s="127">
        <v>28.7</v>
      </c>
      <c r="M30" s="127">
        <v>10.3</v>
      </c>
      <c r="N30" s="127">
        <v>23.1</v>
      </c>
      <c r="O30" s="127">
        <v>22.1</v>
      </c>
      <c r="P30" s="127">
        <v>15.9</v>
      </c>
      <c r="Q30" s="127">
        <v>16</v>
      </c>
      <c r="R30" s="127">
        <v>24.7</v>
      </c>
      <c r="S30" s="127">
        <v>32.1</v>
      </c>
      <c r="T30" s="127"/>
      <c r="U30" s="169">
        <f t="shared" si="27"/>
        <v>317.6</v>
      </c>
      <c r="V30" s="134">
        <f t="shared" si="4"/>
        <v>50.5</v>
      </c>
      <c r="W30" s="134">
        <f t="shared" si="5"/>
        <v>58.8</v>
      </c>
      <c r="X30" s="134">
        <f t="shared" si="6"/>
        <v>103.4</v>
      </c>
      <c r="Y30" s="134">
        <f t="shared" si="7"/>
        <v>104.9</v>
      </c>
      <c r="Z30" s="127">
        <v>15.1</v>
      </c>
      <c r="AA30" s="127">
        <v>15.7</v>
      </c>
      <c r="AB30" s="127">
        <v>19.7</v>
      </c>
      <c r="AC30" s="127">
        <v>20.6</v>
      </c>
      <c r="AD30" s="127">
        <v>13.1</v>
      </c>
      <c r="AE30" s="127">
        <v>25.1</v>
      </c>
      <c r="AF30" s="127">
        <v>24.1</v>
      </c>
      <c r="AG30" s="127">
        <v>33.6</v>
      </c>
      <c r="AH30" s="132">
        <v>45.7</v>
      </c>
      <c r="AI30" s="132">
        <v>37.1</v>
      </c>
      <c r="AJ30" s="132">
        <v>25.2</v>
      </c>
      <c r="AK30" s="127">
        <v>42.6</v>
      </c>
      <c r="AL30" s="127"/>
      <c r="AM30" s="169">
        <f t="shared" si="8"/>
        <v>275.3</v>
      </c>
      <c r="AN30" s="127">
        <f t="shared" si="28"/>
        <v>36.4</v>
      </c>
      <c r="AO30" s="127">
        <f t="shared" si="22"/>
        <v>70.9</v>
      </c>
      <c r="AP30" s="127">
        <f t="shared" si="23"/>
        <v>69.1</v>
      </c>
      <c r="AQ30" s="127">
        <f t="shared" si="24"/>
        <v>98.9</v>
      </c>
      <c r="AR30" s="132">
        <v>10</v>
      </c>
      <c r="AS30" s="132">
        <v>10.6</v>
      </c>
      <c r="AT30" s="132">
        <v>15.8</v>
      </c>
      <c r="AU30" s="132">
        <v>19.5</v>
      </c>
      <c r="AV30" s="132">
        <v>24.3</v>
      </c>
      <c r="AW30" s="132">
        <v>27.1</v>
      </c>
      <c r="AX30" s="132">
        <v>14.7</v>
      </c>
      <c r="AY30" s="139">
        <v>23.1</v>
      </c>
      <c r="AZ30" s="139">
        <v>31.3</v>
      </c>
      <c r="BA30" s="132">
        <v>23.6</v>
      </c>
      <c r="BB30" s="127">
        <v>31.8</v>
      </c>
      <c r="BC30" s="127">
        <v>43.5</v>
      </c>
      <c r="BD30" s="127"/>
      <c r="BE30" s="181">
        <f t="shared" si="41"/>
        <v>349.9</v>
      </c>
      <c r="BF30" s="127">
        <f t="shared" si="29"/>
        <v>72.8</v>
      </c>
      <c r="BG30" s="127">
        <f t="shared" si="30"/>
        <v>87.6</v>
      </c>
      <c r="BH30" s="127">
        <f t="shared" si="31"/>
        <v>77.5</v>
      </c>
      <c r="BI30" s="127">
        <f t="shared" si="25"/>
        <v>112</v>
      </c>
      <c r="BJ30" s="127">
        <v>23.7</v>
      </c>
      <c r="BK30" s="127">
        <v>28.6</v>
      </c>
      <c r="BL30" s="127">
        <v>20.5</v>
      </c>
      <c r="BM30" s="127">
        <v>32.3</v>
      </c>
      <c r="BN30" s="127">
        <v>28.1</v>
      </c>
      <c r="BO30" s="127">
        <v>27.2</v>
      </c>
      <c r="BP30" s="127">
        <v>19.9</v>
      </c>
      <c r="BQ30" s="127">
        <v>31.5</v>
      </c>
      <c r="BR30" s="132">
        <v>26.1</v>
      </c>
      <c r="BS30" s="132">
        <v>33.1</v>
      </c>
      <c r="BT30" s="127">
        <v>30.9</v>
      </c>
      <c r="BU30" s="132">
        <v>48</v>
      </c>
      <c r="BW30" s="169">
        <v>502.9</v>
      </c>
      <c r="BX30" s="123">
        <f t="shared" si="33"/>
        <v>72.3</v>
      </c>
      <c r="BY30" s="123">
        <f t="shared" si="34"/>
        <v>77</v>
      </c>
      <c r="BZ30" s="123">
        <f t="shared" si="35"/>
        <v>175.1</v>
      </c>
      <c r="CA30" s="123">
        <f t="shared" si="36"/>
        <v>178.5</v>
      </c>
      <c r="CB30" s="127">
        <v>18.1</v>
      </c>
      <c r="CC30" s="127">
        <v>26.8</v>
      </c>
      <c r="CD30" s="127">
        <v>27.4</v>
      </c>
      <c r="CE30" s="127">
        <v>22.8</v>
      </c>
      <c r="CF30" s="127">
        <v>32</v>
      </c>
      <c r="CG30" s="134">
        <v>22.2</v>
      </c>
      <c r="CH30" s="132">
        <v>48.5</v>
      </c>
      <c r="CI30" s="134">
        <v>48.6</v>
      </c>
      <c r="CJ30" s="134">
        <v>78</v>
      </c>
      <c r="CK30" s="134">
        <v>49.4</v>
      </c>
      <c r="CL30" s="134">
        <v>60.9</v>
      </c>
      <c r="CM30" s="134">
        <v>68.2</v>
      </c>
      <c r="CN30" s="134"/>
      <c r="CO30" s="169">
        <v>1133.8</v>
      </c>
      <c r="CP30" s="134">
        <f t="shared" si="10"/>
        <v>211.9</v>
      </c>
      <c r="CQ30" s="134">
        <f t="shared" si="42"/>
        <v>240.8</v>
      </c>
      <c r="CR30" s="134">
        <f t="shared" si="37"/>
        <v>288.6</v>
      </c>
      <c r="CS30" s="134">
        <f t="shared" si="11"/>
        <v>392.5</v>
      </c>
      <c r="CT30" s="132">
        <v>62.3</v>
      </c>
      <c r="CU30" s="132">
        <v>79.8</v>
      </c>
      <c r="CV30" s="137">
        <v>69.8</v>
      </c>
      <c r="CW30" s="134">
        <v>69.5</v>
      </c>
      <c r="CX30" s="134">
        <v>98.2</v>
      </c>
      <c r="CY30" s="134">
        <v>73.1</v>
      </c>
      <c r="CZ30" s="134">
        <v>67.8</v>
      </c>
      <c r="DA30" s="127">
        <v>79.2</v>
      </c>
      <c r="DB30" s="127">
        <v>141.6</v>
      </c>
      <c r="DC30" s="134">
        <v>83</v>
      </c>
      <c r="DD30" s="134">
        <v>127.8</v>
      </c>
      <c r="DE30" s="127">
        <v>181.7</v>
      </c>
      <c r="DF30" s="127"/>
      <c r="DG30" s="181">
        <v>627</v>
      </c>
      <c r="DH30" s="134">
        <f t="shared" si="12"/>
        <v>147.6</v>
      </c>
      <c r="DI30" s="134">
        <f t="shared" si="13"/>
        <v>119.6</v>
      </c>
      <c r="DJ30" s="134">
        <f t="shared" si="38"/>
        <v>146.9</v>
      </c>
      <c r="DK30" s="134">
        <f t="shared" si="14"/>
        <v>212.9</v>
      </c>
      <c r="DL30" s="127">
        <v>22.9</v>
      </c>
      <c r="DM30" s="127">
        <v>41.2</v>
      </c>
      <c r="DN30" s="127">
        <v>83.5</v>
      </c>
      <c r="DO30" s="127">
        <v>41.2</v>
      </c>
      <c r="DP30" s="127">
        <v>37.5</v>
      </c>
      <c r="DQ30" s="135">
        <v>40.9</v>
      </c>
      <c r="DR30" s="134">
        <v>42.7</v>
      </c>
      <c r="DS30" s="134">
        <v>50.7</v>
      </c>
      <c r="DT30" s="127">
        <v>53.5</v>
      </c>
      <c r="DU30" s="158">
        <v>49.1</v>
      </c>
      <c r="DV30" s="192">
        <v>53.9</v>
      </c>
      <c r="DW30" s="134">
        <v>109.9</v>
      </c>
      <c r="DX30" s="134"/>
      <c r="DY30" s="169">
        <v>590.4</v>
      </c>
      <c r="DZ30" s="134">
        <f t="shared" si="15"/>
        <v>134.4</v>
      </c>
      <c r="EA30" s="134">
        <f t="shared" si="39"/>
        <v>119.9</v>
      </c>
      <c r="EB30" s="134">
        <f t="shared" si="16"/>
        <v>155.2</v>
      </c>
      <c r="EC30" s="134">
        <f t="shared" si="17"/>
        <v>180.9</v>
      </c>
      <c r="ED30" s="194">
        <v>44.7</v>
      </c>
      <c r="EE30" s="18">
        <v>43</v>
      </c>
      <c r="EF30" s="18">
        <v>46.7</v>
      </c>
      <c r="EG30" s="18">
        <v>38.7</v>
      </c>
      <c r="EH30" s="18">
        <v>39.9</v>
      </c>
      <c r="EI30" s="18">
        <v>41.3</v>
      </c>
      <c r="EJ30" s="18">
        <v>46.1</v>
      </c>
      <c r="EK30" s="18">
        <v>51.4</v>
      </c>
      <c r="EL30" s="18">
        <v>57.7</v>
      </c>
      <c r="EM30" s="134">
        <v>57</v>
      </c>
      <c r="EN30" s="18">
        <v>59.5</v>
      </c>
      <c r="EO30" s="134">
        <v>64.4</v>
      </c>
      <c r="EP30" s="134"/>
      <c r="EQ30" s="247">
        <v>701.3</v>
      </c>
      <c r="ER30" s="127">
        <v>152</v>
      </c>
      <c r="ES30" s="127">
        <v>142.7</v>
      </c>
      <c r="ET30" s="127">
        <v>181</v>
      </c>
      <c r="EU30" s="127">
        <v>225.6</v>
      </c>
      <c r="EV30" s="134">
        <v>38</v>
      </c>
      <c r="EW30" s="18">
        <v>62.1</v>
      </c>
      <c r="EX30" s="18">
        <v>51.9</v>
      </c>
      <c r="EY30" s="134">
        <v>44.2</v>
      </c>
      <c r="EZ30" s="192">
        <v>44.3</v>
      </c>
      <c r="FA30" s="192">
        <v>54.2</v>
      </c>
      <c r="FB30" s="192">
        <v>51.9</v>
      </c>
      <c r="FC30" s="18">
        <v>57.1</v>
      </c>
      <c r="FD30" s="192">
        <v>72</v>
      </c>
      <c r="FE30" s="192">
        <v>60.8</v>
      </c>
      <c r="FF30" s="192">
        <v>82.5</v>
      </c>
      <c r="FG30" s="192">
        <v>82.3</v>
      </c>
      <c r="FH30" s="192"/>
      <c r="FI30" s="269">
        <v>737.1</v>
      </c>
      <c r="FJ30" s="192">
        <v>142.7</v>
      </c>
      <c r="FK30" s="18">
        <v>164.1</v>
      </c>
      <c r="FL30" s="18">
        <v>209.1</v>
      </c>
      <c r="FM30" s="18">
        <v>221.2</v>
      </c>
      <c r="FN30" s="18">
        <v>44</v>
      </c>
      <c r="FO30" s="18">
        <v>47.8</v>
      </c>
      <c r="FP30" s="18">
        <v>50.9</v>
      </c>
      <c r="FQ30" s="242">
        <v>52</v>
      </c>
      <c r="FR30" s="242">
        <v>48.6</v>
      </c>
      <c r="FS30" s="18">
        <v>63.5</v>
      </c>
      <c r="FT30" s="242">
        <v>75.2</v>
      </c>
      <c r="FU30" s="242">
        <v>66.1</v>
      </c>
      <c r="FV30" s="242">
        <v>67.8</v>
      </c>
      <c r="FW30" s="242">
        <v>81.5</v>
      </c>
      <c r="FX30" s="242">
        <v>67.7</v>
      </c>
      <c r="FY30" s="242">
        <v>72</v>
      </c>
      <c r="FZ30" s="242">
        <v>807.2</v>
      </c>
      <c r="GA30" s="272">
        <f t="shared" si="18"/>
        <v>168.8</v>
      </c>
      <c r="GB30" s="272">
        <f t="shared" si="19"/>
        <v>194</v>
      </c>
      <c r="GC30" s="272">
        <f t="shared" si="20"/>
        <v>206.1</v>
      </c>
      <c r="GD30" s="272">
        <f t="shared" si="21"/>
        <v>238.3</v>
      </c>
      <c r="GE30" s="18">
        <v>36.7</v>
      </c>
      <c r="GF30" s="18">
        <v>68.1</v>
      </c>
      <c r="GG30" s="18">
        <v>64</v>
      </c>
      <c r="GH30" s="242">
        <v>63</v>
      </c>
      <c r="GI30" s="242">
        <v>68.6</v>
      </c>
      <c r="GJ30" s="242">
        <v>62.4</v>
      </c>
      <c r="GK30" s="242">
        <v>60.2</v>
      </c>
      <c r="GL30" s="242">
        <v>77.2</v>
      </c>
      <c r="GM30" s="242">
        <v>68.7</v>
      </c>
      <c r="GN30" s="242">
        <v>77.1</v>
      </c>
      <c r="GO30" s="18">
        <v>70.7</v>
      </c>
      <c r="GP30" s="242">
        <v>90.5</v>
      </c>
      <c r="GQ30" s="193"/>
    </row>
    <row r="31" spans="1:199" s="13" customFormat="1" ht="14.25" customHeight="1">
      <c r="A31" s="258"/>
      <c r="B31" s="259"/>
      <c r="C31" s="220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68"/>
      <c r="V31" s="125"/>
      <c r="W31" s="125"/>
      <c r="X31" s="125"/>
      <c r="Y31" s="125"/>
      <c r="Z31" s="123"/>
      <c r="AA31" s="123"/>
      <c r="AB31" s="123"/>
      <c r="AC31" s="123"/>
      <c r="AD31" s="123"/>
      <c r="AE31" s="123"/>
      <c r="AF31" s="123"/>
      <c r="AG31" s="123"/>
      <c r="AH31" s="131"/>
      <c r="AI31" s="131"/>
      <c r="AJ31" s="131"/>
      <c r="AK31" s="123"/>
      <c r="AL31" s="123"/>
      <c r="AM31" s="168"/>
      <c r="AN31" s="123"/>
      <c r="AO31" s="123"/>
      <c r="AP31" s="123"/>
      <c r="AQ31" s="123"/>
      <c r="AR31" s="131"/>
      <c r="AS31" s="131"/>
      <c r="AT31" s="131"/>
      <c r="AU31" s="131"/>
      <c r="AV31" s="131"/>
      <c r="AW31" s="131"/>
      <c r="AX31" s="131"/>
      <c r="AY31" s="260"/>
      <c r="AZ31" s="260"/>
      <c r="BA31" s="131"/>
      <c r="BB31" s="123"/>
      <c r="BC31" s="123"/>
      <c r="BD31" s="123"/>
      <c r="BE31" s="220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31"/>
      <c r="BS31" s="131"/>
      <c r="BT31" s="123"/>
      <c r="BU31" s="131"/>
      <c r="BW31" s="168"/>
      <c r="BX31" s="123"/>
      <c r="BY31" s="123"/>
      <c r="BZ31" s="123"/>
      <c r="CA31" s="123"/>
      <c r="CB31" s="123"/>
      <c r="CC31" s="123"/>
      <c r="CD31" s="123"/>
      <c r="CE31" s="123"/>
      <c r="CF31" s="123"/>
      <c r="CG31" s="125"/>
      <c r="CH31" s="131"/>
      <c r="CI31" s="125"/>
      <c r="CJ31" s="125"/>
      <c r="CK31" s="125"/>
      <c r="CL31" s="125"/>
      <c r="CM31" s="125"/>
      <c r="CN31" s="125"/>
      <c r="CO31" s="168"/>
      <c r="CP31" s="125"/>
      <c r="CQ31" s="125"/>
      <c r="CR31" s="125"/>
      <c r="CS31" s="125"/>
      <c r="CT31" s="131"/>
      <c r="CU31" s="131"/>
      <c r="CV31" s="261"/>
      <c r="CW31" s="125"/>
      <c r="CX31" s="125"/>
      <c r="CY31" s="125"/>
      <c r="CZ31" s="125"/>
      <c r="DA31" s="123"/>
      <c r="DB31" s="123"/>
      <c r="DC31" s="125"/>
      <c r="DD31" s="125"/>
      <c r="DE31" s="123"/>
      <c r="DF31" s="123"/>
      <c r="DG31" s="220"/>
      <c r="DH31" s="125"/>
      <c r="DI31" s="125"/>
      <c r="DJ31" s="125"/>
      <c r="DK31" s="125"/>
      <c r="DL31" s="123"/>
      <c r="DM31" s="123"/>
      <c r="DN31" s="123"/>
      <c r="DO31" s="123"/>
      <c r="DP31" s="123"/>
      <c r="DQ31" s="256"/>
      <c r="DR31" s="125"/>
      <c r="DS31" s="125"/>
      <c r="DT31" s="123"/>
      <c r="DU31" s="190"/>
      <c r="DV31" s="257"/>
      <c r="DW31" s="125"/>
      <c r="DX31" s="125"/>
      <c r="DY31" s="168"/>
      <c r="DZ31" s="125"/>
      <c r="EA31" s="125"/>
      <c r="EB31" s="125"/>
      <c r="EC31" s="125"/>
      <c r="ED31" s="262"/>
      <c r="EE31" s="262"/>
      <c r="EF31" s="262"/>
      <c r="EG31" s="262"/>
      <c r="EH31" s="262"/>
      <c r="EI31" s="262"/>
      <c r="EJ31" s="262"/>
      <c r="EK31" s="262"/>
      <c r="EL31" s="262"/>
      <c r="EM31" s="262"/>
      <c r="EN31" s="262"/>
      <c r="EO31" s="262"/>
      <c r="EP31" s="125"/>
      <c r="EQ31" s="246"/>
      <c r="ER31" s="123"/>
      <c r="ES31" s="123"/>
      <c r="ET31" s="123"/>
      <c r="EU31" s="123"/>
      <c r="EV31" s="125"/>
      <c r="EY31" s="125"/>
      <c r="EZ31" s="257"/>
      <c r="FA31" s="257"/>
      <c r="FB31" s="257"/>
      <c r="FD31" s="257"/>
      <c r="FE31" s="257"/>
      <c r="FF31" s="257"/>
      <c r="FG31" s="257"/>
      <c r="FH31" s="257"/>
      <c r="FI31" s="270"/>
      <c r="FJ31" s="257"/>
      <c r="FQ31" s="252"/>
      <c r="FR31" s="252"/>
      <c r="FT31" s="252"/>
      <c r="FU31" s="252"/>
      <c r="FV31" s="252"/>
      <c r="FW31" s="252"/>
      <c r="FX31" s="252"/>
      <c r="FY31" s="252"/>
      <c r="FZ31" s="252"/>
      <c r="GA31" s="193"/>
      <c r="GB31" s="272"/>
      <c r="GC31" s="193"/>
      <c r="GD31" s="193"/>
      <c r="GH31" s="252"/>
      <c r="GQ31" s="193"/>
    </row>
    <row r="32" spans="1:199" s="150" customFormat="1" ht="15.75" customHeight="1" thickBot="1">
      <c r="A32" s="143" t="s">
        <v>61</v>
      </c>
      <c r="B32" s="156" t="s">
        <v>77</v>
      </c>
      <c r="C32" s="221">
        <f t="shared" si="0"/>
        <v>10204.2</v>
      </c>
      <c r="D32" s="144">
        <f>H32+I32+J32</f>
        <v>3496.3</v>
      </c>
      <c r="E32" s="144">
        <f t="shared" si="1"/>
        <v>1178.7</v>
      </c>
      <c r="F32" s="144">
        <f t="shared" si="2"/>
        <v>1638.9</v>
      </c>
      <c r="G32" s="144">
        <f t="shared" si="3"/>
        <v>3890.3</v>
      </c>
      <c r="H32" s="265">
        <v>1297.9</v>
      </c>
      <c r="I32" s="265">
        <v>1153.8</v>
      </c>
      <c r="J32" s="265">
        <v>1044.6</v>
      </c>
      <c r="K32" s="265">
        <v>545.1</v>
      </c>
      <c r="L32" s="265">
        <v>333.1</v>
      </c>
      <c r="M32" s="265">
        <v>300.5</v>
      </c>
      <c r="N32" s="265">
        <v>517.5</v>
      </c>
      <c r="O32" s="265">
        <v>501</v>
      </c>
      <c r="P32" s="265">
        <v>620.4</v>
      </c>
      <c r="Q32" s="265">
        <v>951.2</v>
      </c>
      <c r="R32" s="265">
        <v>1224.1</v>
      </c>
      <c r="S32" s="265">
        <v>1715</v>
      </c>
      <c r="T32" s="146"/>
      <c r="U32" s="170">
        <f>V32+W32+X32+Y32</f>
        <v>9940.6</v>
      </c>
      <c r="V32" s="144">
        <f t="shared" si="4"/>
        <v>3483.2</v>
      </c>
      <c r="W32" s="144">
        <f t="shared" si="5"/>
        <v>1864.1</v>
      </c>
      <c r="X32" s="144">
        <f t="shared" si="6"/>
        <v>1853.9</v>
      </c>
      <c r="Y32" s="144">
        <f t="shared" si="7"/>
        <v>2739.4</v>
      </c>
      <c r="Z32" s="265">
        <v>1320.4</v>
      </c>
      <c r="AA32" s="265">
        <v>1081</v>
      </c>
      <c r="AB32" s="265">
        <v>1081.8</v>
      </c>
      <c r="AC32" s="265">
        <v>709.7</v>
      </c>
      <c r="AD32" s="265">
        <v>582.3</v>
      </c>
      <c r="AE32" s="265">
        <v>572.1</v>
      </c>
      <c r="AF32" s="265">
        <v>612.2</v>
      </c>
      <c r="AG32" s="265">
        <v>617.9</v>
      </c>
      <c r="AH32" s="265">
        <v>623.8</v>
      </c>
      <c r="AI32" s="265">
        <v>665.4</v>
      </c>
      <c r="AJ32" s="265">
        <v>1000.7</v>
      </c>
      <c r="AK32" s="265">
        <v>1073.3</v>
      </c>
      <c r="AL32" s="144"/>
      <c r="AM32" s="170">
        <f t="shared" si="8"/>
        <v>10158.2</v>
      </c>
      <c r="AN32" s="144">
        <f>AR32+AS32+AT32</f>
        <v>3519.1</v>
      </c>
      <c r="AO32" s="144">
        <f t="shared" si="22"/>
        <v>1828.4</v>
      </c>
      <c r="AP32" s="144">
        <f t="shared" si="23"/>
        <v>1910.6</v>
      </c>
      <c r="AQ32" s="144">
        <f t="shared" si="24"/>
        <v>2900.1</v>
      </c>
      <c r="AR32" s="144">
        <v>1307.2</v>
      </c>
      <c r="AS32" s="144">
        <v>1237.1</v>
      </c>
      <c r="AT32" s="144">
        <v>974.8</v>
      </c>
      <c r="AU32" s="144">
        <v>709.3</v>
      </c>
      <c r="AV32" s="144">
        <v>574.2</v>
      </c>
      <c r="AW32" s="144">
        <v>544.9</v>
      </c>
      <c r="AX32" s="144">
        <v>655.2</v>
      </c>
      <c r="AY32" s="144">
        <v>635.1</v>
      </c>
      <c r="AZ32" s="144">
        <v>620.3</v>
      </c>
      <c r="BA32" s="144">
        <v>724.7</v>
      </c>
      <c r="BB32" s="147">
        <v>930.3</v>
      </c>
      <c r="BC32" s="147">
        <v>1245.1</v>
      </c>
      <c r="BD32" s="147"/>
      <c r="BE32" s="221">
        <f>SUM(BJ32:BU32)</f>
        <v>10774.6</v>
      </c>
      <c r="BF32" s="144">
        <f>BJ32+BK32+BL32</f>
        <v>3692.3</v>
      </c>
      <c r="BG32" s="144">
        <f>BM32+BN32+BO32</f>
        <v>2072</v>
      </c>
      <c r="BH32" s="144">
        <f>BP32+BQ32+BR32</f>
        <v>2102.6</v>
      </c>
      <c r="BI32" s="144">
        <f t="shared" si="25"/>
        <v>2907.7</v>
      </c>
      <c r="BJ32" s="148">
        <v>1396.7</v>
      </c>
      <c r="BK32" s="148">
        <v>1241.4</v>
      </c>
      <c r="BL32" s="148">
        <v>1054.2</v>
      </c>
      <c r="BM32" s="148">
        <v>790.7</v>
      </c>
      <c r="BN32" s="148">
        <v>693</v>
      </c>
      <c r="BO32" s="144">
        <v>588.3</v>
      </c>
      <c r="BP32" s="144">
        <v>730</v>
      </c>
      <c r="BQ32" s="144">
        <v>738.7</v>
      </c>
      <c r="BR32" s="144">
        <v>633.9</v>
      </c>
      <c r="BS32" s="144">
        <f>730.3-18.4</f>
        <v>711.9</v>
      </c>
      <c r="BT32" s="144">
        <f>972-25.5</f>
        <v>946.5</v>
      </c>
      <c r="BU32" s="144">
        <v>1249.3</v>
      </c>
      <c r="BW32" s="170">
        <v>12288.2</v>
      </c>
      <c r="BX32" s="144">
        <f>CB32+CC32+CD32</f>
        <v>4165.4</v>
      </c>
      <c r="BY32" s="144">
        <f>CE32+CF32+CG32</f>
        <v>2290.7</v>
      </c>
      <c r="BZ32" s="144">
        <f>CH32+CI32+CJ32</f>
        <v>2589.1</v>
      </c>
      <c r="CA32" s="144">
        <f>CK32+CL32+CM32</f>
        <v>3243</v>
      </c>
      <c r="CB32" s="148">
        <v>1466.1</v>
      </c>
      <c r="CC32" s="148">
        <v>1376.3</v>
      </c>
      <c r="CD32" s="148">
        <v>1323</v>
      </c>
      <c r="CE32" s="148">
        <v>810.8</v>
      </c>
      <c r="CF32" s="148">
        <v>643.6</v>
      </c>
      <c r="CG32" s="144">
        <v>836.3</v>
      </c>
      <c r="CH32" s="144">
        <v>990.8</v>
      </c>
      <c r="CI32" s="144">
        <v>891.4</v>
      </c>
      <c r="CJ32" s="144">
        <v>706.9</v>
      </c>
      <c r="CK32" s="144">
        <v>787.9</v>
      </c>
      <c r="CL32" s="144">
        <v>1071.1</v>
      </c>
      <c r="CM32" s="144">
        <v>1384</v>
      </c>
      <c r="CN32" s="144"/>
      <c r="CO32" s="170">
        <v>13884.8</v>
      </c>
      <c r="CP32" s="144">
        <f t="shared" si="10"/>
        <v>4702.6</v>
      </c>
      <c r="CQ32" s="144">
        <f t="shared" si="42"/>
        <v>2122.6</v>
      </c>
      <c r="CR32" s="144">
        <f>CZ32+DA32+DB32</f>
        <v>3252.9</v>
      </c>
      <c r="CS32" s="144">
        <f t="shared" si="11"/>
        <v>3806.7</v>
      </c>
      <c r="CT32" s="144">
        <v>1727.2</v>
      </c>
      <c r="CU32" s="144">
        <v>1791.2</v>
      </c>
      <c r="CV32" s="144">
        <v>1184.2</v>
      </c>
      <c r="CW32" s="144">
        <v>821.2</v>
      </c>
      <c r="CX32" s="144">
        <v>660</v>
      </c>
      <c r="CY32" s="144">
        <v>641.4</v>
      </c>
      <c r="CZ32" s="144">
        <v>1126.6</v>
      </c>
      <c r="DA32" s="144">
        <v>1289.7</v>
      </c>
      <c r="DB32" s="144">
        <v>836.6</v>
      </c>
      <c r="DC32" s="144">
        <v>899</v>
      </c>
      <c r="DD32" s="144">
        <v>1307.6</v>
      </c>
      <c r="DE32" s="144">
        <v>1600.1</v>
      </c>
      <c r="DF32" s="144"/>
      <c r="DG32" s="221">
        <v>15867.9</v>
      </c>
      <c r="DH32" s="144">
        <f t="shared" si="12"/>
        <v>4854.2</v>
      </c>
      <c r="DI32" s="144">
        <f t="shared" si="13"/>
        <v>2619.1</v>
      </c>
      <c r="DJ32" s="144">
        <f>DR32+DS32+DT32</f>
        <v>3912</v>
      </c>
      <c r="DK32" s="144">
        <f t="shared" si="14"/>
        <v>4482.6</v>
      </c>
      <c r="DL32" s="144">
        <v>1727.5</v>
      </c>
      <c r="DM32" s="144">
        <v>1644.1</v>
      </c>
      <c r="DN32" s="144">
        <v>1482.6</v>
      </c>
      <c r="DO32" s="144">
        <v>1029</v>
      </c>
      <c r="DP32" s="144">
        <v>827.5</v>
      </c>
      <c r="DQ32" s="147">
        <v>762.6</v>
      </c>
      <c r="DR32" s="144">
        <v>1474.4</v>
      </c>
      <c r="DS32" s="144">
        <v>1343.5</v>
      </c>
      <c r="DT32" s="144">
        <v>1094.1</v>
      </c>
      <c r="DU32" s="191">
        <v>1229.9</v>
      </c>
      <c r="DV32" s="191">
        <v>1353.9</v>
      </c>
      <c r="DW32" s="144">
        <v>1898.8</v>
      </c>
      <c r="DX32" s="144"/>
      <c r="DY32" s="170">
        <v>21114.2</v>
      </c>
      <c r="DZ32" s="144">
        <f t="shared" si="15"/>
        <v>7824.1</v>
      </c>
      <c r="EA32" s="144">
        <f>EG32+EH32+EI32</f>
        <v>3296</v>
      </c>
      <c r="EB32" s="144">
        <f t="shared" si="16"/>
        <v>4329.4</v>
      </c>
      <c r="EC32" s="144">
        <f t="shared" si="17"/>
        <v>5664.7</v>
      </c>
      <c r="ED32" s="195">
        <v>2838.7</v>
      </c>
      <c r="EE32" s="150">
        <v>2724.5</v>
      </c>
      <c r="EF32" s="150">
        <v>2260.9</v>
      </c>
      <c r="EG32" s="150">
        <v>1265.5</v>
      </c>
      <c r="EH32" s="150">
        <v>1071.9</v>
      </c>
      <c r="EI32" s="150">
        <v>958.6</v>
      </c>
      <c r="EJ32" s="150">
        <v>1204.2</v>
      </c>
      <c r="EK32" s="266">
        <v>1639.5</v>
      </c>
      <c r="EL32" s="266">
        <v>1485.7</v>
      </c>
      <c r="EM32" s="144">
        <v>1562.7</v>
      </c>
      <c r="EN32" s="150">
        <v>1655.1</v>
      </c>
      <c r="EO32" s="144">
        <v>2446.9</v>
      </c>
      <c r="EP32" s="144"/>
      <c r="EQ32" s="248">
        <v>24997.3</v>
      </c>
      <c r="ER32" s="144">
        <v>8104.7</v>
      </c>
      <c r="ES32" s="144">
        <v>4878.1</v>
      </c>
      <c r="ET32" s="144">
        <v>5008.2</v>
      </c>
      <c r="EU32" s="144">
        <v>7006.3</v>
      </c>
      <c r="EV32" s="144">
        <v>3027.3</v>
      </c>
      <c r="EW32" s="150">
        <v>2633.3</v>
      </c>
      <c r="EX32" s="150">
        <v>2444.1</v>
      </c>
      <c r="EY32" s="144">
        <v>1850.9</v>
      </c>
      <c r="EZ32" s="191">
        <v>1457.9</v>
      </c>
      <c r="FA32" s="191">
        <v>1569.3</v>
      </c>
      <c r="FB32" s="191">
        <v>1824.1</v>
      </c>
      <c r="FC32" s="191">
        <v>1904.2</v>
      </c>
      <c r="FD32" s="191">
        <v>1279.9</v>
      </c>
      <c r="FE32" s="191">
        <v>1553.4</v>
      </c>
      <c r="FF32" s="191">
        <v>2471.4</v>
      </c>
      <c r="FG32" s="191">
        <v>2981.5</v>
      </c>
      <c r="FH32" s="191"/>
      <c r="FI32" s="271">
        <v>24745.8</v>
      </c>
      <c r="FJ32" s="191">
        <v>8637.7</v>
      </c>
      <c r="FK32" s="150">
        <v>4346.1</v>
      </c>
      <c r="FL32" s="150">
        <v>5180.5</v>
      </c>
      <c r="FM32" s="150">
        <v>6581.5</v>
      </c>
      <c r="FN32" s="150">
        <v>3017.7</v>
      </c>
      <c r="FO32" s="150">
        <v>3152.7</v>
      </c>
      <c r="FP32" s="150">
        <v>2467.3</v>
      </c>
      <c r="FQ32" s="150">
        <v>1511.5</v>
      </c>
      <c r="FR32" s="150">
        <v>1226.6</v>
      </c>
      <c r="FS32" s="150">
        <v>1608</v>
      </c>
      <c r="FT32" s="150">
        <v>1844.9</v>
      </c>
      <c r="FU32" s="150">
        <v>1857.2</v>
      </c>
      <c r="FV32" s="150">
        <v>1478.4</v>
      </c>
      <c r="FW32" s="150">
        <v>1465.8</v>
      </c>
      <c r="FX32" s="266">
        <v>2168.3</v>
      </c>
      <c r="FY32" s="266">
        <v>2947.4</v>
      </c>
      <c r="FZ32" s="150">
        <v>23065.2</v>
      </c>
      <c r="GA32" s="195">
        <f t="shared" si="18"/>
        <v>8129.9</v>
      </c>
      <c r="GB32" s="195">
        <f t="shared" si="19"/>
        <v>4122.5</v>
      </c>
      <c r="GC32" s="195">
        <f t="shared" si="20"/>
        <v>4408.7</v>
      </c>
      <c r="GD32" s="195">
        <f t="shared" si="21"/>
        <v>6404.1</v>
      </c>
      <c r="GE32" s="150">
        <v>2974.9</v>
      </c>
      <c r="GF32" s="150">
        <v>2947.2</v>
      </c>
      <c r="GG32" s="150">
        <v>2207.8</v>
      </c>
      <c r="GH32" s="150">
        <v>1558.5</v>
      </c>
      <c r="GI32" s="150">
        <v>1316.4</v>
      </c>
      <c r="GJ32" s="150">
        <v>1247.6</v>
      </c>
      <c r="GK32" s="150">
        <v>1407.3</v>
      </c>
      <c r="GL32" s="150">
        <v>1849.4</v>
      </c>
      <c r="GM32" s="150">
        <v>1152</v>
      </c>
      <c r="GN32" s="150">
        <v>1312.3</v>
      </c>
      <c r="GO32" s="150">
        <v>2177.6</v>
      </c>
      <c r="GP32" s="150">
        <v>2914.2</v>
      </c>
      <c r="GQ32" s="193"/>
    </row>
    <row r="33" spans="1:147" s="22" customFormat="1" ht="12.75" customHeight="1">
      <c r="A33" s="33"/>
      <c r="B33" s="33"/>
      <c r="C33" s="233"/>
      <c r="E33" s="23"/>
      <c r="G33" s="23"/>
      <c r="I33" s="23"/>
      <c r="L33" s="255"/>
      <c r="M33" s="23"/>
      <c r="N33" s="255"/>
      <c r="O33" s="255"/>
      <c r="P33" s="255"/>
      <c r="Q33" s="23"/>
      <c r="R33" s="23"/>
      <c r="S33" s="255"/>
      <c r="T33" s="27"/>
      <c r="U33" s="171"/>
      <c r="V33" s="23"/>
      <c r="W33" s="23"/>
      <c r="X33" s="23"/>
      <c r="Y33" s="23"/>
      <c r="AM33" s="171"/>
      <c r="AN33" s="23"/>
      <c r="AO33" s="23"/>
      <c r="AP33" s="23"/>
      <c r="AQ33" s="23"/>
      <c r="AS33" s="23"/>
      <c r="AT33" s="23"/>
      <c r="AU33" s="23"/>
      <c r="AV33" s="23"/>
      <c r="AW33" s="23"/>
      <c r="AX33" s="23"/>
      <c r="AY33" s="23"/>
      <c r="AZ33" s="23"/>
      <c r="BA33" s="23"/>
      <c r="BB33" s="34"/>
      <c r="BC33" s="34"/>
      <c r="BD33" s="34"/>
      <c r="BE33" s="222"/>
      <c r="BG33" s="23"/>
      <c r="BJ33" s="45"/>
      <c r="BK33" s="45"/>
      <c r="BL33" s="45"/>
      <c r="BM33" s="45"/>
      <c r="BN33" s="46"/>
      <c r="BP33" s="23"/>
      <c r="BR33" s="23"/>
      <c r="BS33" s="23"/>
      <c r="BT33" s="23"/>
      <c r="BU33" s="23"/>
      <c r="BV33" s="77"/>
      <c r="BW33" s="213"/>
      <c r="CB33" s="45"/>
      <c r="CC33" s="45"/>
      <c r="CD33" s="45"/>
      <c r="CE33" s="46"/>
      <c r="CF33" s="45"/>
      <c r="CH33" s="23"/>
      <c r="CL33" s="57"/>
      <c r="CO33" s="171"/>
      <c r="CP33" s="23"/>
      <c r="CQ33" s="23"/>
      <c r="CR33" s="23"/>
      <c r="CS33" s="23"/>
      <c r="CT33" s="23"/>
      <c r="CU33" s="23"/>
      <c r="CV33" s="23"/>
      <c r="CW33" s="23"/>
      <c r="CX33" s="23"/>
      <c r="DB33" s="23"/>
      <c r="DC33" s="23"/>
      <c r="DG33" s="187"/>
      <c r="DQ33" s="187"/>
      <c r="EQ33" s="249"/>
    </row>
    <row r="34" spans="1:187" s="88" customFormat="1" ht="12">
      <c r="A34" s="87"/>
      <c r="B34" s="29"/>
      <c r="C34" s="222"/>
      <c r="E34" s="79"/>
      <c r="G34" s="79"/>
      <c r="I34" s="79"/>
      <c r="M34" s="79"/>
      <c r="Q34" s="79"/>
      <c r="R34" s="79"/>
      <c r="T34" s="43"/>
      <c r="U34" s="172"/>
      <c r="V34" s="79"/>
      <c r="W34" s="79"/>
      <c r="X34" s="79"/>
      <c r="Y34" s="79"/>
      <c r="AM34" s="172"/>
      <c r="AN34" s="79"/>
      <c r="AO34" s="79"/>
      <c r="AP34" s="79"/>
      <c r="AQ34" s="79"/>
      <c r="AS34" s="79"/>
      <c r="AT34" s="79"/>
      <c r="AU34" s="79"/>
      <c r="AV34" s="79"/>
      <c r="AW34" s="79"/>
      <c r="AX34" s="79"/>
      <c r="AY34" s="79"/>
      <c r="AZ34" s="79"/>
      <c r="BA34" s="79"/>
      <c r="BB34" s="34"/>
      <c r="BC34" s="34"/>
      <c r="BD34" s="34"/>
      <c r="BE34" s="222"/>
      <c r="BG34" s="79"/>
      <c r="BJ34" s="90"/>
      <c r="BK34" s="90"/>
      <c r="BL34" s="90"/>
      <c r="BM34" s="90"/>
      <c r="BN34" s="91"/>
      <c r="BP34" s="79"/>
      <c r="BR34" s="79"/>
      <c r="BS34" s="79"/>
      <c r="BT34" s="79"/>
      <c r="BU34" s="79"/>
      <c r="BV34" s="77"/>
      <c r="BW34" s="213"/>
      <c r="CB34" s="90"/>
      <c r="CC34" s="90"/>
      <c r="CD34" s="90"/>
      <c r="CE34" s="91"/>
      <c r="CF34" s="90"/>
      <c r="CH34" s="79"/>
      <c r="CL34" s="92"/>
      <c r="CO34" s="172"/>
      <c r="CP34" s="79"/>
      <c r="CQ34" s="79"/>
      <c r="CR34" s="79"/>
      <c r="CS34" s="79"/>
      <c r="CT34" s="79"/>
      <c r="CU34" s="79"/>
      <c r="CV34" s="79"/>
      <c r="CW34" s="79"/>
      <c r="CX34" s="79"/>
      <c r="DC34" s="79"/>
      <c r="DG34" s="80"/>
      <c r="DP34" s="120"/>
      <c r="DQ34" s="120"/>
      <c r="DR34" s="120"/>
      <c r="DS34" s="120"/>
      <c r="DT34" s="120"/>
      <c r="DU34" s="120"/>
      <c r="DV34" s="120"/>
      <c r="DW34" s="120"/>
      <c r="EQ34" s="250"/>
      <c r="EV34" s="120"/>
      <c r="EW34" s="120"/>
      <c r="EX34" s="120"/>
      <c r="EY34" s="120"/>
      <c r="EZ34" s="120"/>
      <c r="FA34" s="120"/>
      <c r="FB34" s="120"/>
      <c r="FC34" s="120"/>
      <c r="FD34" s="120"/>
      <c r="FE34" s="120"/>
      <c r="FF34" s="120"/>
      <c r="FG34" s="120"/>
      <c r="GA34" s="79"/>
      <c r="GB34" s="79"/>
      <c r="GC34" s="79"/>
      <c r="GD34" s="79"/>
      <c r="GE34" s="79"/>
    </row>
    <row r="35" spans="1:147" s="88" customFormat="1" ht="12">
      <c r="A35" s="87"/>
      <c r="B35" s="52"/>
      <c r="C35" s="222"/>
      <c r="E35" s="79"/>
      <c r="G35" s="79"/>
      <c r="I35" s="79"/>
      <c r="M35" s="79"/>
      <c r="Q35" s="79"/>
      <c r="R35" s="79"/>
      <c r="T35" s="43"/>
      <c r="U35" s="172"/>
      <c r="V35" s="79"/>
      <c r="W35" s="79"/>
      <c r="X35" s="79"/>
      <c r="Y35" s="79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M35" s="172"/>
      <c r="AN35" s="79"/>
      <c r="AO35" s="79"/>
      <c r="AP35" s="79"/>
      <c r="AQ35" s="79"/>
      <c r="AS35" s="79"/>
      <c r="AT35" s="79"/>
      <c r="AU35" s="79"/>
      <c r="AV35" s="79"/>
      <c r="AW35" s="79"/>
      <c r="AX35" s="79"/>
      <c r="AY35" s="79"/>
      <c r="AZ35" s="79"/>
      <c r="BA35" s="79"/>
      <c r="BB35" s="34"/>
      <c r="BC35" s="34"/>
      <c r="BD35" s="34"/>
      <c r="BE35" s="222"/>
      <c r="BG35" s="79"/>
      <c r="BJ35" s="90"/>
      <c r="BK35" s="90"/>
      <c r="BL35" s="90"/>
      <c r="BM35" s="90"/>
      <c r="BN35" s="91"/>
      <c r="BP35" s="79"/>
      <c r="BR35" s="79"/>
      <c r="BS35" s="79"/>
      <c r="BT35" s="79"/>
      <c r="BU35" s="79"/>
      <c r="BV35" s="77"/>
      <c r="BW35" s="213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O35" s="172"/>
      <c r="CP35" s="79"/>
      <c r="CQ35" s="79"/>
      <c r="CR35" s="79"/>
      <c r="CS35" s="79"/>
      <c r="CT35" s="79"/>
      <c r="CU35" s="79"/>
      <c r="CV35" s="79"/>
      <c r="CW35" s="79"/>
      <c r="CX35" s="79"/>
      <c r="DC35" s="79"/>
      <c r="DG35" s="80"/>
      <c r="DQ35" s="80"/>
      <c r="EQ35" s="250"/>
    </row>
    <row r="36" spans="1:147" s="88" customFormat="1" ht="12">
      <c r="A36" s="87"/>
      <c r="B36" s="52"/>
      <c r="C36" s="222"/>
      <c r="E36" s="79"/>
      <c r="G36" s="79"/>
      <c r="I36" s="79"/>
      <c r="M36" s="79"/>
      <c r="Q36" s="79"/>
      <c r="R36" s="79"/>
      <c r="T36" s="43"/>
      <c r="U36" s="172"/>
      <c r="V36" s="79"/>
      <c r="W36" s="79"/>
      <c r="X36" s="79"/>
      <c r="Y36" s="79"/>
      <c r="AM36" s="172"/>
      <c r="AN36" s="79"/>
      <c r="AO36" s="79"/>
      <c r="AP36" s="79"/>
      <c r="AQ36" s="79"/>
      <c r="AS36" s="79"/>
      <c r="AT36" s="79"/>
      <c r="AU36" s="79"/>
      <c r="AV36" s="79"/>
      <c r="AW36" s="79"/>
      <c r="AX36" s="79"/>
      <c r="AY36" s="79"/>
      <c r="AZ36" s="79"/>
      <c r="BA36" s="79"/>
      <c r="BB36" s="34"/>
      <c r="BC36" s="34"/>
      <c r="BD36" s="34"/>
      <c r="BE36" s="222"/>
      <c r="BG36" s="79"/>
      <c r="BJ36" s="90"/>
      <c r="BK36" s="90"/>
      <c r="BL36" s="90"/>
      <c r="BM36" s="90"/>
      <c r="BN36" s="91"/>
      <c r="BP36" s="79"/>
      <c r="BR36" s="79"/>
      <c r="BS36" s="79"/>
      <c r="BT36" s="79"/>
      <c r="BU36" s="79"/>
      <c r="BV36" s="77"/>
      <c r="BW36" s="213"/>
      <c r="CB36" s="90"/>
      <c r="CC36" s="90"/>
      <c r="CD36" s="90"/>
      <c r="CE36" s="91"/>
      <c r="CF36" s="90"/>
      <c r="CH36" s="79"/>
      <c r="CL36" s="92"/>
      <c r="CO36" s="172"/>
      <c r="CP36" s="79"/>
      <c r="CQ36" s="79"/>
      <c r="CR36" s="79"/>
      <c r="CS36" s="79"/>
      <c r="CT36" s="79"/>
      <c r="CU36" s="79"/>
      <c r="CV36" s="79"/>
      <c r="CX36" s="79"/>
      <c r="DC36" s="79"/>
      <c r="DG36" s="80"/>
      <c r="DQ36" s="80"/>
      <c r="EQ36" s="250"/>
    </row>
    <row r="37" spans="1:147" s="88" customFormat="1" ht="12">
      <c r="A37" s="87"/>
      <c r="B37" s="52"/>
      <c r="C37" s="222"/>
      <c r="E37" s="79"/>
      <c r="G37" s="79"/>
      <c r="I37" s="79"/>
      <c r="M37" s="79"/>
      <c r="Q37" s="79"/>
      <c r="R37" s="79"/>
      <c r="T37" s="43"/>
      <c r="U37" s="172"/>
      <c r="V37" s="79"/>
      <c r="W37" s="79"/>
      <c r="X37" s="79"/>
      <c r="Y37" s="79"/>
      <c r="AM37" s="172"/>
      <c r="AN37" s="79"/>
      <c r="AO37" s="79"/>
      <c r="AP37" s="79"/>
      <c r="AQ37" s="79"/>
      <c r="AS37" s="79"/>
      <c r="AT37" s="79"/>
      <c r="AU37" s="79"/>
      <c r="AV37" s="79"/>
      <c r="AW37" s="79"/>
      <c r="AX37" s="79"/>
      <c r="AY37" s="79"/>
      <c r="AZ37" s="79"/>
      <c r="BA37" s="79"/>
      <c r="BB37" s="34"/>
      <c r="BC37" s="34"/>
      <c r="BD37" s="34"/>
      <c r="BE37" s="222"/>
      <c r="BG37" s="79"/>
      <c r="BJ37" s="90"/>
      <c r="BK37" s="90"/>
      <c r="BL37" s="90"/>
      <c r="BM37" s="90"/>
      <c r="BN37" s="91"/>
      <c r="BP37" s="79"/>
      <c r="BR37" s="79"/>
      <c r="BS37" s="79"/>
      <c r="BT37" s="79"/>
      <c r="BU37" s="79"/>
      <c r="BV37" s="77"/>
      <c r="BW37" s="213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O37" s="172"/>
      <c r="CP37" s="79"/>
      <c r="CQ37" s="79"/>
      <c r="CR37" s="79"/>
      <c r="CS37" s="79"/>
      <c r="CT37" s="79"/>
      <c r="CU37" s="79"/>
      <c r="CV37" s="79"/>
      <c r="CX37" s="79"/>
      <c r="DC37" s="79"/>
      <c r="DG37" s="80"/>
      <c r="DQ37" s="80"/>
      <c r="EQ37" s="250"/>
    </row>
    <row r="38" spans="1:167" s="3" customFormat="1" ht="12">
      <c r="A38" s="86"/>
      <c r="B38" s="121"/>
      <c r="C38" s="174"/>
      <c r="U38" s="173"/>
      <c r="AM38" s="173"/>
      <c r="BE38" s="173"/>
      <c r="BW38" s="173"/>
      <c r="CL38" s="94"/>
      <c r="CO38" s="173"/>
      <c r="CS38" s="43"/>
      <c r="CT38" s="43"/>
      <c r="DC38" s="43"/>
      <c r="DG38" s="80"/>
      <c r="DQ38" s="86"/>
      <c r="DZ38" s="88"/>
      <c r="EQ38" s="173"/>
      <c r="FK38" s="3" t="s">
        <v>90</v>
      </c>
    </row>
    <row r="39" spans="3:166" s="3" customFormat="1" ht="12">
      <c r="C39" s="173"/>
      <c r="U39" s="173"/>
      <c r="AM39" s="173"/>
      <c r="BE39" s="173"/>
      <c r="BW39" s="173"/>
      <c r="CL39" s="94"/>
      <c r="CO39" s="173"/>
      <c r="CS39" s="43"/>
      <c r="CT39" s="43"/>
      <c r="DC39" s="43"/>
      <c r="DG39" s="80"/>
      <c r="DQ39" s="86"/>
      <c r="DZ39" s="88"/>
      <c r="EQ39" s="173"/>
      <c r="FJ39" s="3" t="s">
        <v>86</v>
      </c>
    </row>
    <row r="40" spans="3:168" s="3" customFormat="1" ht="12">
      <c r="C40" s="173"/>
      <c r="I40" s="43"/>
      <c r="M40" s="43"/>
      <c r="Q40" s="43"/>
      <c r="R40" s="43"/>
      <c r="U40" s="173"/>
      <c r="AM40" s="173"/>
      <c r="BE40" s="173"/>
      <c r="BW40" s="173"/>
      <c r="CL40" s="94"/>
      <c r="CO40" s="173"/>
      <c r="CS40" s="43"/>
      <c r="CT40" s="43"/>
      <c r="DC40" s="43"/>
      <c r="DG40" s="80"/>
      <c r="DQ40" s="86"/>
      <c r="DZ40" s="88"/>
      <c r="EQ40" s="173"/>
      <c r="FJ40" s="3" t="s">
        <v>85</v>
      </c>
      <c r="FL40" s="3" t="s">
        <v>89</v>
      </c>
    </row>
    <row r="41" spans="1:168" s="2" customFormat="1" ht="15.75">
      <c r="A41" s="1"/>
      <c r="B41" s="1"/>
      <c r="C41" s="160"/>
      <c r="U41" s="160"/>
      <c r="AM41" s="160"/>
      <c r="BB41" s="3"/>
      <c r="BC41" s="3"/>
      <c r="BD41" s="3"/>
      <c r="BE41" s="173"/>
      <c r="BW41" s="160"/>
      <c r="CL41" s="47"/>
      <c r="CO41" s="160"/>
      <c r="CS41" s="26"/>
      <c r="CT41" s="26"/>
      <c r="DC41" s="26"/>
      <c r="DG41" s="81"/>
      <c r="DQ41" s="30"/>
      <c r="DZ41" s="32"/>
      <c r="EQ41" s="160"/>
      <c r="FJ41" s="2" t="s">
        <v>84</v>
      </c>
      <c r="FK41" s="2" t="s">
        <v>83</v>
      </c>
      <c r="FL41" s="2" t="s">
        <v>93</v>
      </c>
    </row>
    <row r="42" spans="1:167" s="2" customFormat="1" ht="12">
      <c r="A42" s="58"/>
      <c r="B42" s="59"/>
      <c r="C42" s="160"/>
      <c r="U42" s="160"/>
      <c r="AM42" s="160"/>
      <c r="BB42" s="3"/>
      <c r="BC42" s="3"/>
      <c r="BD42" s="3"/>
      <c r="BE42" s="173"/>
      <c r="BW42" s="160"/>
      <c r="CL42" s="47"/>
      <c r="CO42" s="160"/>
      <c r="CS42" s="26"/>
      <c r="CT42" s="26"/>
      <c r="DC42" s="26"/>
      <c r="DG42" s="81"/>
      <c r="DQ42" s="30"/>
      <c r="DZ42" s="32"/>
      <c r="EQ42" s="160"/>
      <c r="FK42" s="2" t="s">
        <v>84</v>
      </c>
    </row>
    <row r="43" spans="3:147" s="60" customFormat="1" ht="12">
      <c r="C43" s="175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175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175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4"/>
      <c r="BC43" s="64"/>
      <c r="BD43" s="64"/>
      <c r="BE43" s="209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4"/>
      <c r="BU43" s="64"/>
      <c r="BV43" s="64"/>
      <c r="BW43" s="209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5"/>
      <c r="CM43" s="64"/>
      <c r="CN43" s="64"/>
      <c r="CO43" s="211"/>
      <c r="CP43" s="62"/>
      <c r="CQ43" s="62"/>
      <c r="CR43" s="62"/>
      <c r="CS43" s="110"/>
      <c r="CT43" s="110"/>
      <c r="CU43" s="62"/>
      <c r="CV43" s="62"/>
      <c r="CX43" s="62"/>
      <c r="CY43" s="62"/>
      <c r="CZ43" s="62"/>
      <c r="DA43" s="62"/>
      <c r="DB43" s="62"/>
      <c r="DC43" s="110"/>
      <c r="DD43" s="64"/>
      <c r="DE43" s="64"/>
      <c r="DF43" s="64"/>
      <c r="DG43" s="64"/>
      <c r="DQ43" s="188"/>
      <c r="DZ43" s="64"/>
      <c r="EQ43" s="211"/>
    </row>
    <row r="44" spans="2:168" s="11" customFormat="1" ht="15.75">
      <c r="B44" s="1"/>
      <c r="C44" s="164"/>
      <c r="U44" s="164"/>
      <c r="AM44" s="164"/>
      <c r="BB44" s="67"/>
      <c r="BC44" s="67"/>
      <c r="BD44" s="67"/>
      <c r="BE44" s="223"/>
      <c r="BW44" s="164"/>
      <c r="CL44" s="68"/>
      <c r="CO44" s="164"/>
      <c r="CS44" s="111"/>
      <c r="CT44" s="111"/>
      <c r="DC44" s="111"/>
      <c r="DG44" s="184"/>
      <c r="DQ44" s="184"/>
      <c r="EQ44" s="164"/>
      <c r="FJ44" s="11" t="s">
        <v>95</v>
      </c>
      <c r="FK44" s="11" t="s">
        <v>100</v>
      </c>
      <c r="FL44" s="11" t="s">
        <v>99</v>
      </c>
    </row>
    <row r="45" spans="2:168" s="11" customFormat="1" ht="15.75">
      <c r="B45" s="1"/>
      <c r="C45" s="164"/>
      <c r="U45" s="164"/>
      <c r="AM45" s="164"/>
      <c r="BB45" s="67"/>
      <c r="BC45" s="67"/>
      <c r="BD45" s="67"/>
      <c r="BE45" s="223"/>
      <c r="BW45" s="164"/>
      <c r="CL45" s="68"/>
      <c r="CO45" s="164"/>
      <c r="CS45" s="111"/>
      <c r="CT45" s="111"/>
      <c r="DC45" s="111"/>
      <c r="DG45" s="184"/>
      <c r="DQ45" s="184"/>
      <c r="EQ45" s="164"/>
      <c r="FL45" s="11" t="s">
        <v>94</v>
      </c>
    </row>
    <row r="46" spans="2:168" s="11" customFormat="1" ht="12">
      <c r="B46" s="58"/>
      <c r="C46" s="164"/>
      <c r="U46" s="164"/>
      <c r="AM46" s="164"/>
      <c r="BB46" s="67"/>
      <c r="BC46" s="67"/>
      <c r="BD46" s="67"/>
      <c r="BE46" s="223"/>
      <c r="BW46" s="164"/>
      <c r="CL46" s="68"/>
      <c r="CO46" s="164"/>
      <c r="CS46" s="111"/>
      <c r="CT46" s="111"/>
      <c r="DC46" s="111"/>
      <c r="DG46" s="184"/>
      <c r="DQ46" s="184"/>
      <c r="EQ46" s="164"/>
      <c r="FK46" s="11" t="s">
        <v>96</v>
      </c>
      <c r="FL46" s="11" t="s">
        <v>92</v>
      </c>
    </row>
    <row r="47" spans="1:168" s="88" customFormat="1" ht="12.75">
      <c r="A47" s="69"/>
      <c r="C47" s="74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74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74"/>
      <c r="AN47" s="202"/>
      <c r="AO47" s="202"/>
      <c r="AP47" s="202"/>
      <c r="AQ47" s="202"/>
      <c r="AR47" s="202"/>
      <c r="AS47" s="202"/>
      <c r="AT47" s="202"/>
      <c r="AU47" s="202"/>
      <c r="AV47" s="202"/>
      <c r="AW47" s="202"/>
      <c r="AX47" s="202"/>
      <c r="AY47" s="202"/>
      <c r="AZ47" s="202"/>
      <c r="BA47" s="202"/>
      <c r="BB47" s="202"/>
      <c r="BC47" s="202"/>
      <c r="BD47" s="202"/>
      <c r="BE47" s="224"/>
      <c r="BF47" s="202"/>
      <c r="BG47" s="202"/>
      <c r="BH47" s="202"/>
      <c r="BI47" s="202"/>
      <c r="BJ47" s="202"/>
      <c r="BK47" s="202"/>
      <c r="BL47" s="202"/>
      <c r="BM47" s="202"/>
      <c r="BN47" s="202"/>
      <c r="BO47" s="202"/>
      <c r="BP47" s="202"/>
      <c r="BQ47" s="202"/>
      <c r="BR47" s="202"/>
      <c r="BS47" s="202"/>
      <c r="BT47" s="202"/>
      <c r="BW47" s="208"/>
      <c r="BX47" s="202"/>
      <c r="BY47" s="202"/>
      <c r="BZ47" s="202"/>
      <c r="CA47" s="202"/>
      <c r="CB47" s="202"/>
      <c r="CC47" s="202"/>
      <c r="CD47" s="202"/>
      <c r="CE47" s="202"/>
      <c r="CF47" s="202"/>
      <c r="CG47" s="202"/>
      <c r="CH47" s="202"/>
      <c r="CI47" s="202"/>
      <c r="CJ47" s="202"/>
      <c r="CK47" s="202"/>
      <c r="CL47" s="202"/>
      <c r="CO47" s="208"/>
      <c r="CP47" s="202"/>
      <c r="CQ47" s="202"/>
      <c r="CR47" s="202"/>
      <c r="CS47" s="203"/>
      <c r="CT47" s="203"/>
      <c r="CU47" s="202"/>
      <c r="CV47" s="202"/>
      <c r="CX47" s="202"/>
      <c r="CY47" s="202"/>
      <c r="CZ47" s="202"/>
      <c r="DA47" s="202"/>
      <c r="DB47" s="202"/>
      <c r="DC47" s="203"/>
      <c r="DD47" s="202"/>
      <c r="DG47" s="80"/>
      <c r="DQ47" s="80"/>
      <c r="EQ47" s="208"/>
      <c r="FK47" s="88" t="s">
        <v>97</v>
      </c>
      <c r="FL47" s="88" t="s">
        <v>82</v>
      </c>
    </row>
    <row r="48" spans="3:169" s="14" customFormat="1" ht="12.75">
      <c r="C48" s="74"/>
      <c r="U48" s="74"/>
      <c r="AM48" s="74"/>
      <c r="BE48" s="74"/>
      <c r="BW48" s="74"/>
      <c r="CL48" s="204"/>
      <c r="CO48" s="74"/>
      <c r="CS48" s="113"/>
      <c r="CT48" s="113"/>
      <c r="DC48" s="113"/>
      <c r="DG48" s="189"/>
      <c r="DQ48" s="189"/>
      <c r="EQ48" s="74"/>
      <c r="FK48" s="14" t="s">
        <v>83</v>
      </c>
      <c r="FL48" s="14" t="s">
        <v>102</v>
      </c>
      <c r="FM48" s="14" t="s">
        <v>90</v>
      </c>
    </row>
    <row r="49" spans="3:169" s="3" customFormat="1" ht="12">
      <c r="C49" s="173"/>
      <c r="U49" s="173"/>
      <c r="AM49" s="176"/>
      <c r="BE49" s="173"/>
      <c r="BW49" s="173"/>
      <c r="CL49" s="94"/>
      <c r="CO49" s="173"/>
      <c r="CS49" s="43"/>
      <c r="CT49" s="43"/>
      <c r="DC49" s="43"/>
      <c r="DG49" s="80"/>
      <c r="DQ49" s="86"/>
      <c r="DZ49" s="88"/>
      <c r="EQ49" s="173"/>
      <c r="FL49" s="3" t="s">
        <v>88</v>
      </c>
      <c r="FM49" s="3" t="s">
        <v>89</v>
      </c>
    </row>
    <row r="50" spans="3:168" s="88" customFormat="1" ht="12">
      <c r="C50" s="172"/>
      <c r="E50" s="79"/>
      <c r="G50" s="79"/>
      <c r="K50" s="79"/>
      <c r="L50" s="79"/>
      <c r="M50" s="79"/>
      <c r="R50" s="79"/>
      <c r="U50" s="172"/>
      <c r="V50" s="79"/>
      <c r="W50" s="79"/>
      <c r="X50" s="79"/>
      <c r="Y50" s="79"/>
      <c r="AB50" s="79"/>
      <c r="AD50" s="79"/>
      <c r="AF50" s="79"/>
      <c r="AH50" s="79"/>
      <c r="AI50" s="79"/>
      <c r="AM50" s="172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172"/>
      <c r="BG50" s="79"/>
      <c r="BI50" s="79"/>
      <c r="BJ50" s="90"/>
      <c r="BK50" s="90"/>
      <c r="BL50" s="90"/>
      <c r="BM50" s="90"/>
      <c r="BN50" s="90"/>
      <c r="BO50" s="90"/>
      <c r="BT50" s="79"/>
      <c r="BU50" s="56"/>
      <c r="BV50" s="56"/>
      <c r="BW50" s="214"/>
      <c r="CB50" s="90"/>
      <c r="CC50" s="90"/>
      <c r="CD50" s="90"/>
      <c r="CE50" s="90"/>
      <c r="CF50" s="90"/>
      <c r="CL50" s="92"/>
      <c r="CO50" s="208"/>
      <c r="CS50" s="79"/>
      <c r="CT50" s="79"/>
      <c r="DC50" s="79"/>
      <c r="DG50" s="80"/>
      <c r="DQ50" s="80"/>
      <c r="EQ50" s="208"/>
      <c r="FK50" s="88" t="s">
        <v>98</v>
      </c>
      <c r="FL50" s="88" t="s">
        <v>101</v>
      </c>
    </row>
    <row r="51" spans="3:168" s="3" customFormat="1" ht="12">
      <c r="C51" s="172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U51" s="172"/>
      <c r="V51" s="79"/>
      <c r="W51" s="79"/>
      <c r="X51" s="79"/>
      <c r="Y51" s="79"/>
      <c r="AD51" s="88"/>
      <c r="AF51" s="79"/>
      <c r="AG51" s="79"/>
      <c r="AM51" s="172"/>
      <c r="AN51" s="79"/>
      <c r="AO51" s="79"/>
      <c r="AP51" s="79"/>
      <c r="AQ51" s="79"/>
      <c r="AR51" s="43"/>
      <c r="AS51" s="77"/>
      <c r="AT51" s="79"/>
      <c r="AU51" s="43"/>
      <c r="AV51" s="43"/>
      <c r="AW51" s="43"/>
      <c r="AX51" s="43"/>
      <c r="AY51" s="78"/>
      <c r="AZ51" s="78"/>
      <c r="BB51" s="78"/>
      <c r="BC51" s="78"/>
      <c r="BD51" s="78"/>
      <c r="BE51" s="225"/>
      <c r="BF51" s="88"/>
      <c r="BG51" s="88"/>
      <c r="BH51" s="88"/>
      <c r="BI51" s="88"/>
      <c r="BJ51" s="90"/>
      <c r="BK51" s="90"/>
      <c r="BL51" s="90"/>
      <c r="BM51" s="90"/>
      <c r="BN51" s="90"/>
      <c r="BO51" s="88"/>
      <c r="BP51" s="88"/>
      <c r="BQ51" s="88"/>
      <c r="BR51" s="88"/>
      <c r="BS51" s="88"/>
      <c r="BT51" s="88"/>
      <c r="BU51" s="88"/>
      <c r="BV51" s="56"/>
      <c r="BW51" s="214"/>
      <c r="BX51" s="88"/>
      <c r="BY51" s="88"/>
      <c r="BZ51" s="88"/>
      <c r="CA51" s="88"/>
      <c r="CB51" s="88"/>
      <c r="CC51" s="88"/>
      <c r="CD51" s="88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173"/>
      <c r="CS51" s="43"/>
      <c r="CT51" s="43"/>
      <c r="DC51" s="43"/>
      <c r="DG51" s="80"/>
      <c r="DQ51" s="86"/>
      <c r="DZ51" s="88"/>
      <c r="EQ51" s="251"/>
      <c r="FK51" s="3" t="s">
        <v>104</v>
      </c>
      <c r="FL51" s="3" t="s">
        <v>103</v>
      </c>
    </row>
    <row r="52" spans="3:168" s="88" customFormat="1" ht="12">
      <c r="C52" s="172"/>
      <c r="E52" s="79"/>
      <c r="G52" s="79"/>
      <c r="M52" s="79"/>
      <c r="Q52" s="79"/>
      <c r="R52" s="79"/>
      <c r="U52" s="172"/>
      <c r="V52" s="79"/>
      <c r="W52" s="79"/>
      <c r="X52" s="79"/>
      <c r="Y52" s="79"/>
      <c r="Z52" s="79"/>
      <c r="AA52" s="79"/>
      <c r="AC52" s="79"/>
      <c r="AE52" s="79"/>
      <c r="AF52" s="79"/>
      <c r="AH52" s="79"/>
      <c r="AI52" s="79"/>
      <c r="AM52" s="172"/>
      <c r="AN52" s="79"/>
      <c r="AO52" s="79"/>
      <c r="AP52" s="79"/>
      <c r="AQ52" s="79"/>
      <c r="AR52" s="52"/>
      <c r="AS52" s="52"/>
      <c r="AT52" s="52"/>
      <c r="AU52" s="79"/>
      <c r="AV52" s="79"/>
      <c r="AW52" s="79"/>
      <c r="AX52" s="79"/>
      <c r="AY52" s="34"/>
      <c r="AZ52" s="34"/>
      <c r="BA52" s="79"/>
      <c r="BB52" s="80"/>
      <c r="BC52" s="80"/>
      <c r="BD52" s="80"/>
      <c r="BE52" s="226"/>
      <c r="BG52" s="79"/>
      <c r="BJ52" s="90"/>
      <c r="BK52" s="90"/>
      <c r="BL52" s="90"/>
      <c r="BM52" s="90"/>
      <c r="BN52" s="90"/>
      <c r="BU52" s="81"/>
      <c r="BV52" s="56"/>
      <c r="BW52" s="214"/>
      <c r="CB52" s="90"/>
      <c r="CC52" s="90"/>
      <c r="CD52" s="90"/>
      <c r="CE52" s="90"/>
      <c r="CF52" s="90"/>
      <c r="CL52" s="92"/>
      <c r="CO52" s="208"/>
      <c r="CS52" s="79"/>
      <c r="CT52" s="79"/>
      <c r="DC52" s="79"/>
      <c r="DG52" s="80"/>
      <c r="DQ52" s="80"/>
      <c r="EQ52" s="250"/>
      <c r="FL52" s="88" t="s">
        <v>91</v>
      </c>
    </row>
    <row r="53" spans="3:147" s="3" customFormat="1" ht="12">
      <c r="C53" s="176"/>
      <c r="E53" s="43"/>
      <c r="G53" s="43"/>
      <c r="P53" s="43"/>
      <c r="R53" s="43"/>
      <c r="U53" s="176"/>
      <c r="V53" s="98"/>
      <c r="W53" s="98"/>
      <c r="X53" s="98"/>
      <c r="Y53" s="98"/>
      <c r="AF53" s="43"/>
      <c r="AM53" s="176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E53" s="173"/>
      <c r="BG53" s="43"/>
      <c r="BS53" s="86"/>
      <c r="BU53" s="82"/>
      <c r="BV53" s="205"/>
      <c r="BW53" s="215"/>
      <c r="BX53" s="88"/>
      <c r="BY53" s="88"/>
      <c r="BZ53" s="88"/>
      <c r="CA53" s="88"/>
      <c r="CG53" s="99"/>
      <c r="CI53" s="99"/>
      <c r="CJ53" s="99"/>
      <c r="CK53" s="99"/>
      <c r="CL53" s="100"/>
      <c r="CM53" s="88"/>
      <c r="CN53" s="88"/>
      <c r="CO53" s="173"/>
      <c r="CS53" s="43"/>
      <c r="CT53" s="43"/>
      <c r="DG53" s="80"/>
      <c r="DQ53" s="86"/>
      <c r="DZ53" s="88"/>
      <c r="EQ53" s="173"/>
    </row>
    <row r="54" spans="3:147" s="3" customFormat="1" ht="12">
      <c r="C54" s="172"/>
      <c r="E54" s="43"/>
      <c r="G54" s="43"/>
      <c r="R54" s="43"/>
      <c r="U54" s="176"/>
      <c r="V54" s="98"/>
      <c r="W54" s="98"/>
      <c r="X54" s="98"/>
      <c r="Y54" s="98"/>
      <c r="AA54" s="43"/>
      <c r="AB54" s="43"/>
      <c r="AF54" s="43"/>
      <c r="AJ54" s="43"/>
      <c r="AM54" s="176"/>
      <c r="AN54" s="43"/>
      <c r="AO54" s="43"/>
      <c r="AP54" s="43"/>
      <c r="AQ54" s="43"/>
      <c r="AR54" s="26"/>
      <c r="AS54" s="26"/>
      <c r="AT54" s="43"/>
      <c r="AU54" s="43"/>
      <c r="AV54" s="43"/>
      <c r="AW54" s="43"/>
      <c r="AX54" s="43"/>
      <c r="AY54" s="43"/>
      <c r="AZ54" s="43"/>
      <c r="BA54" s="43"/>
      <c r="BE54" s="173"/>
      <c r="BG54" s="43"/>
      <c r="BO54" s="88"/>
      <c r="BS54" s="86"/>
      <c r="BU54" s="86"/>
      <c r="BV54" s="56"/>
      <c r="BW54" s="214"/>
      <c r="BX54" s="88"/>
      <c r="BY54" s="88"/>
      <c r="BZ54" s="88"/>
      <c r="CA54" s="88"/>
      <c r="CG54" s="99"/>
      <c r="CI54" s="99"/>
      <c r="CJ54" s="99"/>
      <c r="CK54" s="99"/>
      <c r="CL54" s="100"/>
      <c r="CM54" s="88"/>
      <c r="CN54" s="88"/>
      <c r="CO54" s="173"/>
      <c r="CS54" s="43"/>
      <c r="CT54" s="43"/>
      <c r="DG54" s="80"/>
      <c r="DQ54" s="86"/>
      <c r="DZ54" s="88"/>
      <c r="EQ54" s="173"/>
    </row>
    <row r="55" spans="3:167" s="3" customFormat="1" ht="12">
      <c r="C55" s="176"/>
      <c r="E55" s="43"/>
      <c r="G55" s="43"/>
      <c r="I55" s="43"/>
      <c r="R55" s="43"/>
      <c r="U55" s="176"/>
      <c r="V55" s="98"/>
      <c r="W55" s="98"/>
      <c r="X55" s="98"/>
      <c r="Y55" s="98"/>
      <c r="AC55" s="43"/>
      <c r="AD55" s="43"/>
      <c r="AE55" s="43"/>
      <c r="AH55" s="43"/>
      <c r="AM55" s="176"/>
      <c r="AN55" s="43"/>
      <c r="AO55" s="43"/>
      <c r="AP55" s="43"/>
      <c r="AQ55" s="43"/>
      <c r="AR55" s="26"/>
      <c r="AS55" s="26"/>
      <c r="AT55" s="43"/>
      <c r="AU55" s="43"/>
      <c r="AV55" s="43"/>
      <c r="AW55" s="43"/>
      <c r="AX55" s="43"/>
      <c r="AY55" s="43"/>
      <c r="AZ55" s="43"/>
      <c r="BA55" s="43"/>
      <c r="BC55" s="43"/>
      <c r="BD55" s="43"/>
      <c r="BE55" s="176"/>
      <c r="BF55" s="43"/>
      <c r="BG55" s="43"/>
      <c r="BP55" s="43"/>
      <c r="BQ55" s="43"/>
      <c r="BS55" s="101"/>
      <c r="BU55" s="30"/>
      <c r="BV55" s="205"/>
      <c r="BW55" s="215"/>
      <c r="BX55" s="88"/>
      <c r="BY55" s="88"/>
      <c r="BZ55" s="88"/>
      <c r="CA55" s="88"/>
      <c r="CG55" s="99"/>
      <c r="CI55" s="99"/>
      <c r="CJ55" s="99"/>
      <c r="CK55" s="99"/>
      <c r="CL55" s="100"/>
      <c r="CM55" s="88"/>
      <c r="CN55" s="88"/>
      <c r="CO55" s="173"/>
      <c r="CS55" s="43"/>
      <c r="CT55" s="43"/>
      <c r="DG55" s="80"/>
      <c r="DQ55" s="86"/>
      <c r="DZ55" s="88"/>
      <c r="EQ55" s="173"/>
      <c r="FK55" s="3" t="s">
        <v>86</v>
      </c>
    </row>
    <row r="56" spans="2:147" s="3" customFormat="1" ht="12">
      <c r="B56" s="43"/>
      <c r="C56" s="176"/>
      <c r="E56" s="43"/>
      <c r="G56" s="43"/>
      <c r="I56" s="43"/>
      <c r="R56" s="43"/>
      <c r="U56" s="176"/>
      <c r="V56" s="79"/>
      <c r="W56" s="79"/>
      <c r="X56" s="79"/>
      <c r="Y56" s="79"/>
      <c r="AC56" s="43"/>
      <c r="AD56" s="43"/>
      <c r="AE56" s="43"/>
      <c r="AH56" s="43"/>
      <c r="AM56" s="176"/>
      <c r="AN56" s="79"/>
      <c r="AO56" s="43"/>
      <c r="AP56" s="79"/>
      <c r="AQ56" s="79"/>
      <c r="AR56" s="26"/>
      <c r="AS56" s="26"/>
      <c r="AT56" s="43"/>
      <c r="AU56" s="43"/>
      <c r="AV56" s="43"/>
      <c r="AW56" s="43"/>
      <c r="AX56" s="43"/>
      <c r="AY56" s="43"/>
      <c r="AZ56" s="43"/>
      <c r="BA56" s="43"/>
      <c r="BE56" s="173"/>
      <c r="BF56" s="43"/>
      <c r="BG56" s="43"/>
      <c r="BH56" s="43"/>
      <c r="BI56" s="43"/>
      <c r="BO56" s="43"/>
      <c r="BP56" s="43"/>
      <c r="BQ56" s="43"/>
      <c r="BR56" s="43"/>
      <c r="BS56" s="43"/>
      <c r="BT56" s="43"/>
      <c r="BU56" s="43"/>
      <c r="BV56" s="56"/>
      <c r="BW56" s="214"/>
      <c r="BX56" s="88"/>
      <c r="BY56" s="88"/>
      <c r="BZ56" s="88"/>
      <c r="CA56" s="88"/>
      <c r="CG56" s="88"/>
      <c r="CI56" s="88"/>
      <c r="CJ56" s="88"/>
      <c r="CK56" s="88"/>
      <c r="CL56" s="92"/>
      <c r="CM56" s="88"/>
      <c r="CN56" s="88"/>
      <c r="CO56" s="173"/>
      <c r="CS56" s="43"/>
      <c r="CT56" s="43"/>
      <c r="DG56" s="80"/>
      <c r="DQ56" s="86"/>
      <c r="DZ56" s="88"/>
      <c r="EQ56" s="173"/>
    </row>
    <row r="57" spans="3:147" s="3" customFormat="1" ht="12">
      <c r="C57" s="176"/>
      <c r="E57" s="43"/>
      <c r="G57" s="43"/>
      <c r="I57" s="43"/>
      <c r="R57" s="43"/>
      <c r="U57" s="172"/>
      <c r="V57" s="79"/>
      <c r="W57" s="79"/>
      <c r="X57" s="79"/>
      <c r="Y57" s="79"/>
      <c r="AC57" s="43"/>
      <c r="AD57" s="43"/>
      <c r="AE57" s="43"/>
      <c r="AH57" s="43"/>
      <c r="AM57" s="176"/>
      <c r="AN57" s="79"/>
      <c r="AO57" s="79"/>
      <c r="AP57" s="79"/>
      <c r="AQ57" s="79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E57" s="173"/>
      <c r="BG57" s="43"/>
      <c r="BU57" s="29"/>
      <c r="BV57" s="56"/>
      <c r="BW57" s="214"/>
      <c r="BX57" s="88"/>
      <c r="BY57" s="88"/>
      <c r="BZ57" s="88"/>
      <c r="CA57" s="88"/>
      <c r="CG57" s="88"/>
      <c r="CI57" s="88"/>
      <c r="CJ57" s="88"/>
      <c r="CK57" s="88"/>
      <c r="CL57" s="92"/>
      <c r="CM57" s="88"/>
      <c r="CN57" s="88"/>
      <c r="CO57" s="173"/>
      <c r="CS57" s="121"/>
      <c r="CT57" s="121"/>
      <c r="DG57" s="80"/>
      <c r="DQ57" s="86"/>
      <c r="DZ57" s="88"/>
      <c r="EQ57" s="173"/>
    </row>
    <row r="58" spans="1:147" s="88" customFormat="1" ht="12">
      <c r="A58" s="102"/>
      <c r="B58" s="102"/>
      <c r="C58" s="172"/>
      <c r="D58" s="79"/>
      <c r="E58" s="79"/>
      <c r="G58" s="79"/>
      <c r="M58" s="79"/>
      <c r="R58" s="79"/>
      <c r="U58" s="172"/>
      <c r="V58" s="79"/>
      <c r="W58" s="79"/>
      <c r="X58" s="79"/>
      <c r="Y58" s="79"/>
      <c r="AA58" s="79"/>
      <c r="AC58" s="79"/>
      <c r="AE58" s="79"/>
      <c r="AM58" s="172"/>
      <c r="AN58" s="79"/>
      <c r="AO58" s="79"/>
      <c r="AP58" s="79"/>
      <c r="AQ58" s="79"/>
      <c r="AR58" s="24"/>
      <c r="AS58" s="24"/>
      <c r="AT58" s="79"/>
      <c r="AU58" s="79"/>
      <c r="AV58" s="79"/>
      <c r="AW58" s="79"/>
      <c r="AX58" s="79"/>
      <c r="AY58" s="79"/>
      <c r="AZ58" s="79"/>
      <c r="BA58" s="79"/>
      <c r="BB58" s="34"/>
      <c r="BC58" s="80"/>
      <c r="BD58" s="80"/>
      <c r="BE58" s="226"/>
      <c r="BG58" s="79"/>
      <c r="BJ58" s="90"/>
      <c r="BK58" s="90"/>
      <c r="BL58" s="90"/>
      <c r="BM58" s="90"/>
      <c r="BN58" s="90"/>
      <c r="BU58" s="81"/>
      <c r="BV58" s="56"/>
      <c r="BW58" s="214"/>
      <c r="CB58" s="90"/>
      <c r="CC58" s="90"/>
      <c r="CD58" s="90"/>
      <c r="CE58" s="90"/>
      <c r="CF58" s="90"/>
      <c r="CG58" s="79"/>
      <c r="CL58" s="92"/>
      <c r="CO58" s="208"/>
      <c r="CS58" s="120"/>
      <c r="CT58" s="120"/>
      <c r="DG58" s="80"/>
      <c r="DQ58" s="80"/>
      <c r="EQ58" s="208"/>
    </row>
    <row r="59" spans="1:147" s="3" customFormat="1" ht="12">
      <c r="A59" s="103"/>
      <c r="B59" s="103"/>
      <c r="C59" s="172"/>
      <c r="E59" s="43"/>
      <c r="G59" s="43"/>
      <c r="N59" s="88"/>
      <c r="Q59" s="88"/>
      <c r="R59" s="79"/>
      <c r="U59" s="172"/>
      <c r="V59" s="79"/>
      <c r="W59" s="79"/>
      <c r="X59" s="79"/>
      <c r="Y59" s="79"/>
      <c r="Z59" s="88"/>
      <c r="AA59" s="88"/>
      <c r="AB59" s="88"/>
      <c r="AC59" s="79"/>
      <c r="AD59" s="79"/>
      <c r="AE59" s="88"/>
      <c r="AF59" s="88"/>
      <c r="AG59" s="88"/>
      <c r="AH59" s="88"/>
      <c r="AI59" s="88"/>
      <c r="AJ59" s="79"/>
      <c r="AK59" s="88"/>
      <c r="AL59" s="88"/>
      <c r="AM59" s="172"/>
      <c r="AN59" s="79"/>
      <c r="AO59" s="79"/>
      <c r="AP59" s="79"/>
      <c r="AQ59" s="79"/>
      <c r="AR59" s="26"/>
      <c r="AS59" s="26"/>
      <c r="AT59" s="43"/>
      <c r="AU59" s="43"/>
      <c r="AV59" s="43"/>
      <c r="AW59" s="43"/>
      <c r="AX59" s="43"/>
      <c r="AY59" s="43"/>
      <c r="AZ59" s="43"/>
      <c r="BA59" s="43"/>
      <c r="BE59" s="173"/>
      <c r="BF59" s="88"/>
      <c r="BG59" s="79"/>
      <c r="BH59" s="88"/>
      <c r="BI59" s="88"/>
      <c r="BO59" s="88"/>
      <c r="BP59" s="88"/>
      <c r="BV59" s="56"/>
      <c r="BW59" s="214"/>
      <c r="BX59" s="88"/>
      <c r="BY59" s="88"/>
      <c r="BZ59" s="88"/>
      <c r="CA59" s="88"/>
      <c r="CM59" s="88"/>
      <c r="CN59" s="88"/>
      <c r="CO59" s="173"/>
      <c r="CS59" s="121"/>
      <c r="CT59" s="121"/>
      <c r="DG59" s="80"/>
      <c r="DQ59" s="86"/>
      <c r="DZ59" s="88"/>
      <c r="EQ59" s="251"/>
    </row>
    <row r="60" spans="1:147" s="3" customFormat="1" ht="12">
      <c r="A60" s="104"/>
      <c r="B60" s="104"/>
      <c r="C60" s="176"/>
      <c r="E60" s="43"/>
      <c r="G60" s="43"/>
      <c r="R60" s="43"/>
      <c r="U60" s="176"/>
      <c r="V60" s="98"/>
      <c r="W60" s="98"/>
      <c r="X60" s="98"/>
      <c r="Y60" s="98"/>
      <c r="AM60" s="176"/>
      <c r="AN60" s="43"/>
      <c r="AO60" s="43"/>
      <c r="AP60" s="43"/>
      <c r="AQ60" s="43"/>
      <c r="AR60" s="26"/>
      <c r="AS60" s="26"/>
      <c r="AT60" s="43"/>
      <c r="AU60" s="43"/>
      <c r="AV60" s="43"/>
      <c r="AW60" s="43"/>
      <c r="AX60" s="43"/>
      <c r="AY60" s="43"/>
      <c r="AZ60" s="43"/>
      <c r="BA60" s="43"/>
      <c r="BC60" s="43"/>
      <c r="BD60" s="43"/>
      <c r="BE60" s="176"/>
      <c r="BG60" s="43"/>
      <c r="BM60" s="43"/>
      <c r="BO60" s="43"/>
      <c r="BV60" s="188"/>
      <c r="BW60" s="216"/>
      <c r="BX60" s="88"/>
      <c r="BY60" s="88"/>
      <c r="BZ60" s="88"/>
      <c r="CA60" s="88"/>
      <c r="CG60" s="99"/>
      <c r="CI60" s="99"/>
      <c r="CJ60" s="99"/>
      <c r="CK60" s="99"/>
      <c r="CL60" s="100"/>
      <c r="CM60" s="88"/>
      <c r="CN60" s="88"/>
      <c r="CO60" s="173"/>
      <c r="CS60" s="121"/>
      <c r="CT60" s="121"/>
      <c r="DG60" s="80"/>
      <c r="DQ60" s="86"/>
      <c r="DZ60" s="88"/>
      <c r="EQ60" s="251"/>
    </row>
    <row r="61" spans="3:147" s="3" customFormat="1" ht="12">
      <c r="C61" s="176"/>
      <c r="E61" s="43"/>
      <c r="G61" s="43"/>
      <c r="H61" s="43"/>
      <c r="M61" s="43"/>
      <c r="R61" s="43"/>
      <c r="T61" s="43"/>
      <c r="U61" s="176"/>
      <c r="V61" s="98"/>
      <c r="W61" s="98"/>
      <c r="X61" s="98"/>
      <c r="Y61" s="98"/>
      <c r="AA61" s="43"/>
      <c r="AD61" s="43"/>
      <c r="AE61" s="43"/>
      <c r="AI61" s="43"/>
      <c r="AM61" s="176"/>
      <c r="AN61" s="43"/>
      <c r="AO61" s="43"/>
      <c r="AP61" s="43"/>
      <c r="AQ61" s="43"/>
      <c r="AR61" s="26"/>
      <c r="AS61" s="26"/>
      <c r="AT61" s="43"/>
      <c r="AU61" s="43"/>
      <c r="AV61" s="43"/>
      <c r="AW61" s="43"/>
      <c r="AX61" s="43"/>
      <c r="BE61" s="173"/>
      <c r="BF61" s="43"/>
      <c r="BG61" s="43"/>
      <c r="BM61" s="43"/>
      <c r="BO61" s="43"/>
      <c r="BV61" s="206"/>
      <c r="BW61" s="217"/>
      <c r="BX61" s="88"/>
      <c r="BY61" s="88"/>
      <c r="BZ61" s="88"/>
      <c r="CA61" s="88"/>
      <c r="CG61" s="99"/>
      <c r="CI61" s="99"/>
      <c r="CJ61" s="99"/>
      <c r="CK61" s="99"/>
      <c r="CL61" s="100"/>
      <c r="CM61" s="88"/>
      <c r="CN61" s="88"/>
      <c r="CO61" s="173"/>
      <c r="CS61" s="121"/>
      <c r="CT61" s="121"/>
      <c r="DG61" s="80"/>
      <c r="DQ61" s="86"/>
      <c r="DZ61" s="88"/>
      <c r="EQ61" s="251"/>
    </row>
    <row r="62" spans="1:147" s="3" customFormat="1" ht="12">
      <c r="A62" s="103"/>
      <c r="B62" s="103"/>
      <c r="C62" s="176"/>
      <c r="E62" s="43"/>
      <c r="G62" s="43"/>
      <c r="R62" s="43"/>
      <c r="T62" s="43"/>
      <c r="U62" s="176"/>
      <c r="V62" s="98"/>
      <c r="W62" s="98"/>
      <c r="X62" s="98"/>
      <c r="Y62" s="98"/>
      <c r="AM62" s="176"/>
      <c r="AN62" s="43"/>
      <c r="AO62" s="43"/>
      <c r="AP62" s="43"/>
      <c r="AQ62" s="43"/>
      <c r="AR62" s="26"/>
      <c r="AS62" s="26"/>
      <c r="AT62" s="43"/>
      <c r="AU62" s="43"/>
      <c r="AV62" s="43"/>
      <c r="AW62" s="43"/>
      <c r="AX62" s="43"/>
      <c r="BE62" s="173"/>
      <c r="BG62" s="43"/>
      <c r="BT62" s="88"/>
      <c r="BV62" s="188"/>
      <c r="BW62" s="216"/>
      <c r="BX62" s="88"/>
      <c r="BY62" s="88"/>
      <c r="BZ62" s="88"/>
      <c r="CA62" s="88"/>
      <c r="CG62" s="99"/>
      <c r="CI62" s="99"/>
      <c r="CJ62" s="99"/>
      <c r="CK62" s="99"/>
      <c r="CL62" s="100"/>
      <c r="CM62" s="88"/>
      <c r="CN62" s="88"/>
      <c r="CO62" s="173"/>
      <c r="CS62" s="121"/>
      <c r="CT62" s="121"/>
      <c r="DG62" s="80"/>
      <c r="DQ62" s="86"/>
      <c r="DZ62" s="88"/>
      <c r="EQ62" s="251"/>
    </row>
    <row r="63" spans="1:147" s="3" customFormat="1" ht="12">
      <c r="A63" s="104"/>
      <c r="B63" s="104"/>
      <c r="C63" s="176"/>
      <c r="E63" s="43"/>
      <c r="F63" s="43"/>
      <c r="G63" s="43"/>
      <c r="T63" s="43"/>
      <c r="U63" s="176"/>
      <c r="V63" s="98"/>
      <c r="W63" s="98"/>
      <c r="X63" s="98"/>
      <c r="Y63" s="98"/>
      <c r="AA63" s="43"/>
      <c r="AB63" s="43"/>
      <c r="AM63" s="176"/>
      <c r="AN63" s="43"/>
      <c r="AO63" s="43"/>
      <c r="AP63" s="43"/>
      <c r="AQ63" s="43"/>
      <c r="AR63" s="26"/>
      <c r="AS63" s="26"/>
      <c r="AT63" s="43"/>
      <c r="AU63" s="101"/>
      <c r="AV63" s="101"/>
      <c r="AW63" s="101"/>
      <c r="AX63" s="101"/>
      <c r="BE63" s="173"/>
      <c r="BG63" s="43"/>
      <c r="BO63" s="43"/>
      <c r="BV63" s="206"/>
      <c r="BW63" s="217"/>
      <c r="BX63" s="88"/>
      <c r="BY63" s="88"/>
      <c r="BZ63" s="88"/>
      <c r="CA63" s="88"/>
      <c r="CG63" s="99"/>
      <c r="CI63" s="99"/>
      <c r="CJ63" s="99"/>
      <c r="CK63" s="99"/>
      <c r="CL63" s="100"/>
      <c r="CM63" s="88"/>
      <c r="CN63" s="88"/>
      <c r="CO63" s="173"/>
      <c r="CS63" s="121"/>
      <c r="CT63" s="121"/>
      <c r="DG63" s="80"/>
      <c r="DQ63" s="86"/>
      <c r="DZ63" s="88"/>
      <c r="EQ63" s="251"/>
    </row>
    <row r="64" spans="1:147" s="3" customFormat="1" ht="12">
      <c r="A64" s="104"/>
      <c r="B64" s="104"/>
      <c r="C64" s="176"/>
      <c r="E64" s="43"/>
      <c r="G64" s="43"/>
      <c r="R64" s="43"/>
      <c r="T64" s="43"/>
      <c r="U64" s="176"/>
      <c r="V64" s="98"/>
      <c r="W64" s="98"/>
      <c r="X64" s="98"/>
      <c r="Y64" s="98"/>
      <c r="AM64" s="176"/>
      <c r="AN64" s="43"/>
      <c r="AO64" s="79"/>
      <c r="AP64" s="43"/>
      <c r="AQ64" s="43"/>
      <c r="AR64" s="26"/>
      <c r="AS64" s="26"/>
      <c r="AT64" s="43"/>
      <c r="AU64" s="101"/>
      <c r="AV64" s="101"/>
      <c r="AW64" s="101"/>
      <c r="AX64" s="101"/>
      <c r="BE64" s="173"/>
      <c r="BG64" s="43"/>
      <c r="BV64" s="188"/>
      <c r="BW64" s="216"/>
      <c r="BX64" s="88"/>
      <c r="BY64" s="88"/>
      <c r="BZ64" s="88"/>
      <c r="CA64" s="88"/>
      <c r="CG64" s="99"/>
      <c r="CI64" s="99"/>
      <c r="CJ64" s="99"/>
      <c r="CK64" s="99"/>
      <c r="CL64" s="100"/>
      <c r="CM64" s="88"/>
      <c r="CN64" s="88"/>
      <c r="CO64" s="173"/>
      <c r="CS64" s="121"/>
      <c r="CT64" s="121"/>
      <c r="DG64" s="80"/>
      <c r="DQ64" s="86"/>
      <c r="DZ64" s="88"/>
      <c r="EQ64" s="251"/>
    </row>
    <row r="65" spans="1:147" s="3" customFormat="1" ht="12">
      <c r="A65" s="104"/>
      <c r="B65" s="104"/>
      <c r="C65" s="176"/>
      <c r="E65" s="43"/>
      <c r="G65" s="43"/>
      <c r="R65" s="43"/>
      <c r="T65" s="43"/>
      <c r="U65" s="176"/>
      <c r="V65" s="98"/>
      <c r="W65" s="98"/>
      <c r="X65" s="98"/>
      <c r="Y65" s="98"/>
      <c r="AD65" s="43"/>
      <c r="AE65" s="43"/>
      <c r="AG65" s="43"/>
      <c r="AM65" s="176"/>
      <c r="AN65" s="43"/>
      <c r="AO65" s="43"/>
      <c r="AP65" s="43"/>
      <c r="AQ65" s="43"/>
      <c r="AR65" s="26"/>
      <c r="AS65" s="26"/>
      <c r="AT65" s="43"/>
      <c r="AU65" s="43"/>
      <c r="AV65" s="43"/>
      <c r="AW65" s="43"/>
      <c r="AX65" s="43"/>
      <c r="BE65" s="173"/>
      <c r="BG65" s="43"/>
      <c r="BR65" s="43"/>
      <c r="BV65" s="188"/>
      <c r="BW65" s="216"/>
      <c r="BX65" s="88"/>
      <c r="BY65" s="88"/>
      <c r="BZ65" s="88"/>
      <c r="CA65" s="88"/>
      <c r="CG65" s="99"/>
      <c r="CI65" s="98"/>
      <c r="CJ65" s="99"/>
      <c r="CK65" s="99"/>
      <c r="CL65" s="100"/>
      <c r="CM65" s="88"/>
      <c r="CN65" s="88"/>
      <c r="CO65" s="173"/>
      <c r="CS65" s="121"/>
      <c r="CT65" s="121"/>
      <c r="DG65" s="80"/>
      <c r="DQ65" s="86"/>
      <c r="DZ65" s="88"/>
      <c r="EQ65" s="251"/>
    </row>
    <row r="66" spans="1:147" s="3" customFormat="1" ht="12">
      <c r="A66" s="103"/>
      <c r="B66" s="103"/>
      <c r="C66" s="173"/>
      <c r="E66" s="43"/>
      <c r="G66" s="43"/>
      <c r="R66" s="43"/>
      <c r="T66" s="43"/>
      <c r="U66" s="176"/>
      <c r="V66" s="98"/>
      <c r="W66" s="98"/>
      <c r="X66" s="98"/>
      <c r="Y66" s="98"/>
      <c r="AD66" s="43"/>
      <c r="AE66" s="43"/>
      <c r="AM66" s="172"/>
      <c r="AN66" s="79"/>
      <c r="AO66" s="43"/>
      <c r="AP66" s="43"/>
      <c r="AQ66" s="43"/>
      <c r="AR66" s="26"/>
      <c r="AS66" s="26"/>
      <c r="AT66" s="43"/>
      <c r="AU66" s="43"/>
      <c r="AV66" s="43"/>
      <c r="AW66" s="43"/>
      <c r="AX66" s="43"/>
      <c r="AY66" s="86"/>
      <c r="AZ66" s="86"/>
      <c r="BE66" s="173"/>
      <c r="BG66" s="43"/>
      <c r="BV66" s="188"/>
      <c r="BW66" s="216"/>
      <c r="BX66" s="88"/>
      <c r="BY66" s="88"/>
      <c r="BZ66" s="88"/>
      <c r="CA66" s="88"/>
      <c r="CG66" s="99"/>
      <c r="CI66" s="99"/>
      <c r="CJ66" s="99"/>
      <c r="CK66" s="99"/>
      <c r="CL66" s="100"/>
      <c r="CM66" s="88"/>
      <c r="CN66" s="88"/>
      <c r="CO66" s="173"/>
      <c r="CS66" s="121"/>
      <c r="CT66" s="121"/>
      <c r="DG66" s="80"/>
      <c r="DQ66" s="86"/>
      <c r="DZ66" s="88"/>
      <c r="EQ66" s="251"/>
    </row>
    <row r="67" spans="1:147" s="3" customFormat="1" ht="12">
      <c r="A67" s="103"/>
      <c r="B67" s="103"/>
      <c r="C67" s="176"/>
      <c r="E67" s="43"/>
      <c r="G67" s="43"/>
      <c r="I67" s="43"/>
      <c r="J67" s="43"/>
      <c r="R67" s="43"/>
      <c r="T67" s="43"/>
      <c r="U67" s="176"/>
      <c r="V67" s="98"/>
      <c r="W67" s="98"/>
      <c r="X67" s="98"/>
      <c r="Y67" s="98"/>
      <c r="Z67" s="86"/>
      <c r="AA67" s="86"/>
      <c r="AB67" s="86"/>
      <c r="AC67" s="101"/>
      <c r="AD67" s="43"/>
      <c r="AE67" s="43"/>
      <c r="AG67" s="86"/>
      <c r="AH67" s="86"/>
      <c r="AI67" s="86"/>
      <c r="AJ67" s="86"/>
      <c r="AM67" s="176"/>
      <c r="AN67" s="43"/>
      <c r="AO67" s="43"/>
      <c r="AP67" s="43"/>
      <c r="AQ67" s="43"/>
      <c r="AR67" s="26"/>
      <c r="AS67" s="26"/>
      <c r="AT67" s="43"/>
      <c r="AU67" s="43"/>
      <c r="AV67" s="43"/>
      <c r="AW67" s="43"/>
      <c r="AX67" s="43"/>
      <c r="AY67" s="43"/>
      <c r="AZ67" s="43"/>
      <c r="BA67" s="43"/>
      <c r="BE67" s="173"/>
      <c r="BG67" s="43"/>
      <c r="BP67" s="43"/>
      <c r="BV67" s="188"/>
      <c r="BW67" s="216"/>
      <c r="BX67" s="88"/>
      <c r="BY67" s="88"/>
      <c r="BZ67" s="88"/>
      <c r="CA67" s="88"/>
      <c r="CG67" s="99"/>
      <c r="CI67" s="99"/>
      <c r="CJ67" s="99"/>
      <c r="CK67" s="99"/>
      <c r="CL67" s="100"/>
      <c r="CM67" s="88"/>
      <c r="CN67" s="88"/>
      <c r="CO67" s="173"/>
      <c r="CS67" s="121"/>
      <c r="CT67" s="121"/>
      <c r="DG67" s="80"/>
      <c r="DQ67" s="86"/>
      <c r="DZ67" s="88"/>
      <c r="EQ67" s="251"/>
    </row>
    <row r="68" spans="1:147" s="3" customFormat="1" ht="12">
      <c r="A68" s="103"/>
      <c r="B68" s="103"/>
      <c r="C68" s="176"/>
      <c r="E68" s="43"/>
      <c r="G68" s="43"/>
      <c r="R68" s="43"/>
      <c r="T68" s="43"/>
      <c r="U68" s="176"/>
      <c r="V68" s="98"/>
      <c r="W68" s="98"/>
      <c r="X68" s="98"/>
      <c r="Y68" s="98"/>
      <c r="Z68" s="86"/>
      <c r="AA68" s="86"/>
      <c r="AB68" s="86"/>
      <c r="AC68" s="86"/>
      <c r="AF68" s="86"/>
      <c r="AG68" s="86"/>
      <c r="AH68" s="86"/>
      <c r="AI68" s="86"/>
      <c r="AJ68" s="86"/>
      <c r="AM68" s="176"/>
      <c r="AN68" s="43"/>
      <c r="AO68" s="43"/>
      <c r="AP68" s="43"/>
      <c r="AQ68" s="43"/>
      <c r="AR68" s="26"/>
      <c r="AS68" s="26"/>
      <c r="AT68" s="43"/>
      <c r="AU68" s="43"/>
      <c r="AV68" s="43"/>
      <c r="AW68" s="43"/>
      <c r="AX68" s="43"/>
      <c r="AY68" s="26"/>
      <c r="AZ68" s="26"/>
      <c r="BA68" s="43"/>
      <c r="BE68" s="173"/>
      <c r="BG68" s="43"/>
      <c r="BO68" s="43"/>
      <c r="BP68" s="43"/>
      <c r="BT68" s="43"/>
      <c r="BV68" s="188"/>
      <c r="BW68" s="216"/>
      <c r="BX68" s="88"/>
      <c r="BY68" s="88"/>
      <c r="BZ68" s="88"/>
      <c r="CA68" s="88"/>
      <c r="CG68" s="99"/>
      <c r="CI68" s="99"/>
      <c r="CJ68" s="99"/>
      <c r="CK68" s="99"/>
      <c r="CL68" s="100"/>
      <c r="CM68" s="88"/>
      <c r="CN68" s="88"/>
      <c r="CO68" s="173"/>
      <c r="CS68" s="121"/>
      <c r="CT68" s="121"/>
      <c r="DG68" s="80"/>
      <c r="DQ68" s="86"/>
      <c r="DZ68" s="88"/>
      <c r="EQ68" s="251"/>
    </row>
    <row r="69" spans="1:147" s="3" customFormat="1" ht="12">
      <c r="A69" s="103"/>
      <c r="B69" s="103"/>
      <c r="C69" s="182"/>
      <c r="D69" s="86"/>
      <c r="E69" s="101"/>
      <c r="F69" s="86"/>
      <c r="G69" s="101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101"/>
      <c r="S69" s="86"/>
      <c r="T69" s="43"/>
      <c r="U69" s="176"/>
      <c r="V69" s="98"/>
      <c r="W69" s="98"/>
      <c r="X69" s="98"/>
      <c r="Y69" s="98"/>
      <c r="AA69" s="43"/>
      <c r="AB69" s="43"/>
      <c r="AD69" s="43"/>
      <c r="AF69" s="43"/>
      <c r="AM69" s="176"/>
      <c r="AN69" s="43"/>
      <c r="AO69" s="43"/>
      <c r="AP69" s="43"/>
      <c r="AQ69" s="43"/>
      <c r="AR69" s="26"/>
      <c r="AS69" s="26"/>
      <c r="AT69" s="43"/>
      <c r="AU69" s="101"/>
      <c r="AV69" s="101"/>
      <c r="AW69" s="101"/>
      <c r="AX69" s="101"/>
      <c r="AY69" s="26"/>
      <c r="AZ69" s="26"/>
      <c r="BA69" s="43"/>
      <c r="BE69" s="173"/>
      <c r="BG69" s="43"/>
      <c r="BV69" s="188"/>
      <c r="BW69" s="216"/>
      <c r="BX69" s="88"/>
      <c r="BY69" s="88"/>
      <c r="BZ69" s="88"/>
      <c r="CA69" s="88"/>
      <c r="CG69" s="99"/>
      <c r="CI69" s="99"/>
      <c r="CJ69" s="99"/>
      <c r="CK69" s="99"/>
      <c r="CL69" s="100"/>
      <c r="CM69" s="88"/>
      <c r="CN69" s="88"/>
      <c r="CO69" s="173"/>
      <c r="CS69" s="121"/>
      <c r="CT69" s="121"/>
      <c r="DG69" s="80"/>
      <c r="DQ69" s="86"/>
      <c r="DZ69" s="88"/>
      <c r="EQ69" s="251"/>
    </row>
    <row r="70" spans="1:147" s="3" customFormat="1" ht="12">
      <c r="A70" s="103"/>
      <c r="B70" s="103"/>
      <c r="C70" s="182"/>
      <c r="D70" s="86"/>
      <c r="E70" s="101"/>
      <c r="F70" s="86"/>
      <c r="G70" s="101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101"/>
      <c r="S70" s="86"/>
      <c r="T70" s="43"/>
      <c r="U70" s="176"/>
      <c r="V70" s="98"/>
      <c r="W70" s="98"/>
      <c r="X70" s="98"/>
      <c r="Y70" s="98"/>
      <c r="AM70" s="176"/>
      <c r="AN70" s="43"/>
      <c r="AO70" s="43"/>
      <c r="AP70" s="43"/>
      <c r="AQ70" s="43"/>
      <c r="AR70" s="26"/>
      <c r="AS70" s="26"/>
      <c r="AT70" s="43"/>
      <c r="AU70" s="43"/>
      <c r="AV70" s="43"/>
      <c r="AW70" s="43"/>
      <c r="AX70" s="43"/>
      <c r="AY70" s="43"/>
      <c r="AZ70" s="43"/>
      <c r="BA70" s="43"/>
      <c r="BE70" s="173"/>
      <c r="BG70" s="43"/>
      <c r="BQ70" s="88"/>
      <c r="BT70" s="88"/>
      <c r="BV70" s="188"/>
      <c r="BW70" s="216"/>
      <c r="BX70" s="88"/>
      <c r="BY70" s="88"/>
      <c r="BZ70" s="88"/>
      <c r="CA70" s="88"/>
      <c r="CG70" s="99"/>
      <c r="CI70" s="99"/>
      <c r="CJ70" s="99"/>
      <c r="CK70" s="99"/>
      <c r="CL70" s="100"/>
      <c r="CM70" s="88"/>
      <c r="CN70" s="88"/>
      <c r="CO70" s="173"/>
      <c r="CS70" s="121"/>
      <c r="CT70" s="121"/>
      <c r="DG70" s="80"/>
      <c r="DQ70" s="86"/>
      <c r="DZ70" s="88"/>
      <c r="EQ70" s="251"/>
    </row>
    <row r="71" spans="1:147" s="3" customFormat="1" ht="12">
      <c r="A71" s="103"/>
      <c r="B71" s="103"/>
      <c r="C71" s="176"/>
      <c r="E71" s="43"/>
      <c r="G71" s="43"/>
      <c r="R71" s="43"/>
      <c r="T71" s="43"/>
      <c r="U71" s="176"/>
      <c r="V71" s="98"/>
      <c r="W71" s="98"/>
      <c r="X71" s="98"/>
      <c r="Y71" s="98"/>
      <c r="AA71" s="43"/>
      <c r="AC71" s="43"/>
      <c r="AD71" s="43"/>
      <c r="AM71" s="176"/>
      <c r="AN71" s="43"/>
      <c r="AO71" s="43"/>
      <c r="AP71" s="43"/>
      <c r="AQ71" s="43"/>
      <c r="AR71" s="26"/>
      <c r="AS71" s="26"/>
      <c r="AT71" s="43"/>
      <c r="AU71" s="43"/>
      <c r="AV71" s="43"/>
      <c r="AW71" s="43"/>
      <c r="AX71" s="43"/>
      <c r="AY71" s="26"/>
      <c r="AZ71" s="26"/>
      <c r="BA71" s="43"/>
      <c r="BE71" s="173"/>
      <c r="BG71" s="43"/>
      <c r="BS71" s="43"/>
      <c r="BT71" s="43"/>
      <c r="BU71" s="43"/>
      <c r="BV71" s="188"/>
      <c r="BW71" s="216"/>
      <c r="BX71" s="88"/>
      <c r="BY71" s="88"/>
      <c r="BZ71" s="88"/>
      <c r="CA71" s="88"/>
      <c r="CG71" s="99"/>
      <c r="CI71" s="99"/>
      <c r="CJ71" s="99"/>
      <c r="CK71" s="99"/>
      <c r="CL71" s="100"/>
      <c r="CM71" s="88"/>
      <c r="CN71" s="88"/>
      <c r="CO71" s="173"/>
      <c r="CS71" s="121"/>
      <c r="CT71" s="121"/>
      <c r="DG71" s="80"/>
      <c r="DQ71" s="86"/>
      <c r="DZ71" s="88"/>
      <c r="EQ71" s="251"/>
    </row>
    <row r="72" spans="1:147" s="3" customFormat="1" ht="12">
      <c r="A72" s="103"/>
      <c r="B72" s="103"/>
      <c r="C72" s="176"/>
      <c r="E72" s="43"/>
      <c r="G72" s="43"/>
      <c r="R72" s="43"/>
      <c r="T72" s="43"/>
      <c r="U72" s="176"/>
      <c r="V72" s="98"/>
      <c r="W72" s="98"/>
      <c r="X72" s="98"/>
      <c r="Y72" s="98"/>
      <c r="AM72" s="176"/>
      <c r="AN72" s="43"/>
      <c r="AO72" s="43"/>
      <c r="AP72" s="43"/>
      <c r="AQ72" s="43"/>
      <c r="AR72" s="26"/>
      <c r="AS72" s="26"/>
      <c r="AT72" s="43"/>
      <c r="AU72" s="43"/>
      <c r="AV72" s="43"/>
      <c r="AW72" s="43"/>
      <c r="AX72" s="43"/>
      <c r="AY72" s="26"/>
      <c r="AZ72" s="26"/>
      <c r="BA72" s="43"/>
      <c r="BE72" s="173"/>
      <c r="BG72" s="43"/>
      <c r="BO72" s="88"/>
      <c r="BT72" s="43"/>
      <c r="BV72" s="188"/>
      <c r="BW72" s="216"/>
      <c r="BX72" s="88"/>
      <c r="BY72" s="88"/>
      <c r="BZ72" s="88"/>
      <c r="CA72" s="88"/>
      <c r="CG72" s="99"/>
      <c r="CI72" s="99"/>
      <c r="CJ72" s="99"/>
      <c r="CK72" s="99"/>
      <c r="CL72" s="100"/>
      <c r="CM72" s="88"/>
      <c r="CN72" s="88"/>
      <c r="CO72" s="173"/>
      <c r="CS72" s="121"/>
      <c r="CT72" s="121"/>
      <c r="DG72" s="80"/>
      <c r="DQ72" s="86"/>
      <c r="DZ72" s="88"/>
      <c r="EQ72" s="251"/>
    </row>
    <row r="73" spans="1:147" s="3" customFormat="1" ht="12">
      <c r="A73" s="103"/>
      <c r="B73" s="103"/>
      <c r="C73" s="176"/>
      <c r="E73" s="43"/>
      <c r="G73" s="43"/>
      <c r="R73" s="43"/>
      <c r="T73" s="43"/>
      <c r="U73" s="176"/>
      <c r="V73" s="98"/>
      <c r="W73" s="98"/>
      <c r="X73" s="98"/>
      <c r="Y73" s="98"/>
      <c r="Z73" s="86"/>
      <c r="AA73" s="86"/>
      <c r="AB73" s="86"/>
      <c r="AC73" s="86"/>
      <c r="AE73" s="43"/>
      <c r="AG73" s="86"/>
      <c r="AH73" s="86"/>
      <c r="AI73" s="86"/>
      <c r="AJ73" s="86"/>
      <c r="AM73" s="176"/>
      <c r="AN73" s="43"/>
      <c r="AO73" s="43"/>
      <c r="AP73" s="43"/>
      <c r="AQ73" s="43"/>
      <c r="AR73" s="26"/>
      <c r="AS73" s="26"/>
      <c r="AT73" s="43"/>
      <c r="AU73" s="43"/>
      <c r="AV73" s="43"/>
      <c r="AW73" s="43"/>
      <c r="AX73" s="43"/>
      <c r="AY73" s="26"/>
      <c r="AZ73" s="26"/>
      <c r="BA73" s="43"/>
      <c r="BE73" s="173"/>
      <c r="BG73" s="43"/>
      <c r="BO73" s="43"/>
      <c r="BT73" s="43"/>
      <c r="BV73" s="188"/>
      <c r="BW73" s="216"/>
      <c r="BX73" s="88"/>
      <c r="BY73" s="88"/>
      <c r="BZ73" s="88"/>
      <c r="CA73" s="88"/>
      <c r="CG73" s="99"/>
      <c r="CI73" s="99"/>
      <c r="CJ73" s="99"/>
      <c r="CK73" s="99"/>
      <c r="CL73" s="100"/>
      <c r="CM73" s="88"/>
      <c r="CN73" s="88"/>
      <c r="CO73" s="173"/>
      <c r="CS73" s="121"/>
      <c r="CT73" s="121"/>
      <c r="DG73" s="80"/>
      <c r="DQ73" s="86"/>
      <c r="DZ73" s="88"/>
      <c r="EQ73" s="251"/>
    </row>
    <row r="74" spans="1:147" s="3" customFormat="1" ht="12">
      <c r="A74" s="103"/>
      <c r="B74" s="103"/>
      <c r="C74" s="176"/>
      <c r="E74" s="43"/>
      <c r="G74" s="43"/>
      <c r="R74" s="43"/>
      <c r="T74" s="43"/>
      <c r="U74" s="176"/>
      <c r="V74" s="98"/>
      <c r="W74" s="98"/>
      <c r="X74" s="98"/>
      <c r="Y74" s="98"/>
      <c r="AM74" s="176"/>
      <c r="AN74" s="43"/>
      <c r="AO74" s="43"/>
      <c r="AP74" s="43"/>
      <c r="AQ74" s="43"/>
      <c r="AR74" s="26"/>
      <c r="AS74" s="26"/>
      <c r="AT74" s="43"/>
      <c r="AU74" s="43"/>
      <c r="AV74" s="43"/>
      <c r="AW74" s="43"/>
      <c r="AX74" s="43"/>
      <c r="AY74" s="43"/>
      <c r="AZ74" s="43"/>
      <c r="BA74" s="43"/>
      <c r="BE74" s="173"/>
      <c r="BG74" s="43"/>
      <c r="BT74" s="43"/>
      <c r="BV74" s="188"/>
      <c r="BW74" s="216"/>
      <c r="BX74" s="88"/>
      <c r="BY74" s="88"/>
      <c r="BZ74" s="88"/>
      <c r="CA74" s="88"/>
      <c r="CG74" s="99"/>
      <c r="CI74" s="99"/>
      <c r="CJ74" s="99"/>
      <c r="CK74" s="99"/>
      <c r="CL74" s="100"/>
      <c r="CM74" s="88"/>
      <c r="CN74" s="88"/>
      <c r="CO74" s="173"/>
      <c r="CS74" s="121"/>
      <c r="CT74" s="121"/>
      <c r="DG74" s="80"/>
      <c r="DQ74" s="86"/>
      <c r="DZ74" s="88"/>
      <c r="EQ74" s="251"/>
    </row>
    <row r="75" spans="1:147" s="3" customFormat="1" ht="12">
      <c r="A75" s="103"/>
      <c r="B75" s="103"/>
      <c r="C75" s="182"/>
      <c r="D75" s="86"/>
      <c r="E75" s="101"/>
      <c r="F75" s="86"/>
      <c r="G75" s="101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101"/>
      <c r="S75" s="86"/>
      <c r="T75" s="43"/>
      <c r="U75" s="176"/>
      <c r="V75" s="98"/>
      <c r="W75" s="98"/>
      <c r="X75" s="98"/>
      <c r="Y75" s="98"/>
      <c r="AD75" s="43"/>
      <c r="AM75" s="176"/>
      <c r="AN75" s="43"/>
      <c r="AO75" s="43"/>
      <c r="AP75" s="43"/>
      <c r="AQ75" s="43"/>
      <c r="AR75" s="26"/>
      <c r="AS75" s="26"/>
      <c r="AT75" s="43"/>
      <c r="AU75" s="43"/>
      <c r="AV75" s="43"/>
      <c r="AW75" s="43"/>
      <c r="AX75" s="43"/>
      <c r="AY75" s="26"/>
      <c r="AZ75" s="26"/>
      <c r="BA75" s="43"/>
      <c r="BE75" s="173"/>
      <c r="BG75" s="43"/>
      <c r="BT75" s="43"/>
      <c r="BV75" s="188"/>
      <c r="BW75" s="216"/>
      <c r="BX75" s="88"/>
      <c r="BY75" s="88"/>
      <c r="BZ75" s="88"/>
      <c r="CA75" s="88"/>
      <c r="CG75" s="99"/>
      <c r="CI75" s="99"/>
      <c r="CJ75" s="99"/>
      <c r="CK75" s="99"/>
      <c r="CL75" s="100"/>
      <c r="CM75" s="88"/>
      <c r="CN75" s="88"/>
      <c r="CO75" s="173"/>
      <c r="CS75" s="121"/>
      <c r="CT75" s="121"/>
      <c r="DG75" s="80"/>
      <c r="DQ75" s="86"/>
      <c r="DZ75" s="88"/>
      <c r="EQ75" s="251"/>
    </row>
    <row r="76" spans="1:147" s="3" customFormat="1" ht="12">
      <c r="A76" s="103"/>
      <c r="B76" s="103"/>
      <c r="C76" s="176"/>
      <c r="E76" s="43"/>
      <c r="G76" s="43"/>
      <c r="R76" s="43"/>
      <c r="T76" s="43"/>
      <c r="U76" s="176"/>
      <c r="V76" s="98"/>
      <c r="W76" s="98"/>
      <c r="X76" s="98"/>
      <c r="Y76" s="98"/>
      <c r="AM76" s="176"/>
      <c r="AN76" s="43"/>
      <c r="AO76" s="43"/>
      <c r="AP76" s="43"/>
      <c r="AQ76" s="43"/>
      <c r="AR76" s="26"/>
      <c r="AS76" s="26"/>
      <c r="AT76" s="43"/>
      <c r="AU76" s="43"/>
      <c r="AV76" s="43"/>
      <c r="AW76" s="43"/>
      <c r="AX76" s="43"/>
      <c r="AY76" s="26"/>
      <c r="AZ76" s="26"/>
      <c r="BA76" s="43"/>
      <c r="BE76" s="173"/>
      <c r="BG76" s="43"/>
      <c r="BT76" s="43"/>
      <c r="BV76" s="188"/>
      <c r="BW76" s="216"/>
      <c r="BX76" s="88"/>
      <c r="BY76" s="88"/>
      <c r="BZ76" s="88"/>
      <c r="CA76" s="88"/>
      <c r="CG76" s="99"/>
      <c r="CI76" s="99"/>
      <c r="CJ76" s="99"/>
      <c r="CK76" s="99"/>
      <c r="CL76" s="100"/>
      <c r="CM76" s="88"/>
      <c r="CN76" s="88"/>
      <c r="CO76" s="173"/>
      <c r="CS76" s="121"/>
      <c r="CT76" s="121"/>
      <c r="DG76" s="80"/>
      <c r="DQ76" s="86"/>
      <c r="DZ76" s="88"/>
      <c r="EQ76" s="251"/>
    </row>
    <row r="77" spans="1:147" s="3" customFormat="1" ht="12">
      <c r="A77" s="103"/>
      <c r="B77" s="103"/>
      <c r="C77" s="176"/>
      <c r="E77" s="43"/>
      <c r="G77" s="43"/>
      <c r="R77" s="43"/>
      <c r="T77" s="43"/>
      <c r="U77" s="176"/>
      <c r="V77" s="98"/>
      <c r="W77" s="98"/>
      <c r="X77" s="98"/>
      <c r="Y77" s="98"/>
      <c r="AC77" s="43"/>
      <c r="AF77" s="43"/>
      <c r="AM77" s="176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26"/>
      <c r="AZ77" s="26"/>
      <c r="BA77" s="43"/>
      <c r="BE77" s="173"/>
      <c r="BG77" s="43"/>
      <c r="BM77" s="43"/>
      <c r="BO77" s="43"/>
      <c r="BP77" s="43"/>
      <c r="BR77" s="43"/>
      <c r="BT77" s="43"/>
      <c r="BV77" s="188"/>
      <c r="BW77" s="216"/>
      <c r="BX77" s="88"/>
      <c r="BY77" s="88"/>
      <c r="BZ77" s="88"/>
      <c r="CA77" s="88"/>
      <c r="CG77" s="99"/>
      <c r="CI77" s="99"/>
      <c r="CJ77" s="99"/>
      <c r="CK77" s="99"/>
      <c r="CL77" s="100"/>
      <c r="CM77" s="88"/>
      <c r="CN77" s="88"/>
      <c r="CO77" s="173"/>
      <c r="CS77" s="121"/>
      <c r="CT77" s="121"/>
      <c r="DG77" s="80"/>
      <c r="DQ77" s="86"/>
      <c r="DZ77" s="88"/>
      <c r="EQ77" s="251"/>
    </row>
    <row r="78" spans="1:147" s="3" customFormat="1" ht="12">
      <c r="A78" s="103"/>
      <c r="B78" s="103"/>
      <c r="C78" s="176"/>
      <c r="E78" s="43"/>
      <c r="G78" s="43"/>
      <c r="R78" s="43"/>
      <c r="T78" s="43"/>
      <c r="U78" s="176"/>
      <c r="V78" s="98"/>
      <c r="W78" s="98"/>
      <c r="X78" s="98"/>
      <c r="Y78" s="98"/>
      <c r="AF78" s="43"/>
      <c r="AM78" s="176"/>
      <c r="AN78" s="43"/>
      <c r="AO78" s="43"/>
      <c r="AP78" s="43"/>
      <c r="AQ78" s="79"/>
      <c r="AR78" s="29"/>
      <c r="AS78" s="29"/>
      <c r="AT78" s="43"/>
      <c r="AU78" s="43"/>
      <c r="AV78" s="43"/>
      <c r="AW78" s="43"/>
      <c r="AX78" s="43"/>
      <c r="AY78" s="26"/>
      <c r="AZ78" s="26"/>
      <c r="BA78" s="43"/>
      <c r="BE78" s="173"/>
      <c r="BG78" s="43"/>
      <c r="BQ78" s="88"/>
      <c r="BR78" s="88"/>
      <c r="BS78" s="88"/>
      <c r="BT78" s="43"/>
      <c r="BU78" s="88"/>
      <c r="BV78" s="188"/>
      <c r="BW78" s="216"/>
      <c r="BX78" s="88"/>
      <c r="BY78" s="88"/>
      <c r="BZ78" s="88"/>
      <c r="CA78" s="88"/>
      <c r="CG78" s="99"/>
      <c r="CI78" s="99"/>
      <c r="CJ78" s="99"/>
      <c r="CK78" s="99"/>
      <c r="CL78" s="100"/>
      <c r="CM78" s="88"/>
      <c r="CN78" s="88"/>
      <c r="CO78" s="173"/>
      <c r="CS78" s="121"/>
      <c r="CT78" s="121"/>
      <c r="DG78" s="80"/>
      <c r="DQ78" s="86"/>
      <c r="DZ78" s="88"/>
      <c r="EQ78" s="251"/>
    </row>
    <row r="79" spans="1:147" s="3" customFormat="1" ht="12">
      <c r="A79" s="103"/>
      <c r="B79" s="103"/>
      <c r="C79" s="176"/>
      <c r="E79" s="43"/>
      <c r="G79" s="43"/>
      <c r="R79" s="43"/>
      <c r="T79" s="43"/>
      <c r="U79" s="176"/>
      <c r="V79" s="98"/>
      <c r="W79" s="98"/>
      <c r="X79" s="98"/>
      <c r="Y79" s="98"/>
      <c r="AM79" s="176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E79" s="173"/>
      <c r="BG79" s="43"/>
      <c r="BT79" s="43"/>
      <c r="BV79" s="188"/>
      <c r="BW79" s="216"/>
      <c r="BX79" s="88"/>
      <c r="BY79" s="88"/>
      <c r="BZ79" s="88"/>
      <c r="CA79" s="88"/>
      <c r="CG79" s="99"/>
      <c r="CI79" s="99"/>
      <c r="CJ79" s="99"/>
      <c r="CK79" s="99"/>
      <c r="CL79" s="100"/>
      <c r="CM79" s="88"/>
      <c r="CN79" s="88"/>
      <c r="CO79" s="173"/>
      <c r="CS79" s="121"/>
      <c r="CT79" s="121"/>
      <c r="DG79" s="80"/>
      <c r="DQ79" s="86"/>
      <c r="DZ79" s="88"/>
      <c r="EQ79" s="251"/>
    </row>
    <row r="80" spans="1:147" s="3" customFormat="1" ht="12">
      <c r="A80" s="103"/>
      <c r="B80" s="103"/>
      <c r="C80" s="176"/>
      <c r="E80" s="43"/>
      <c r="G80" s="43"/>
      <c r="R80" s="43"/>
      <c r="T80" s="43"/>
      <c r="U80" s="176"/>
      <c r="V80" s="98"/>
      <c r="W80" s="98"/>
      <c r="X80" s="98"/>
      <c r="Y80" s="98"/>
      <c r="AC80" s="43"/>
      <c r="AD80" s="43"/>
      <c r="AE80" s="43"/>
      <c r="AI80" s="43"/>
      <c r="AM80" s="176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29"/>
      <c r="AZ80" s="29"/>
      <c r="BA80" s="43"/>
      <c r="BE80" s="173"/>
      <c r="BG80" s="43"/>
      <c r="BT80" s="43"/>
      <c r="BV80" s="188"/>
      <c r="BW80" s="216"/>
      <c r="BX80" s="88"/>
      <c r="BY80" s="88"/>
      <c r="BZ80" s="88"/>
      <c r="CA80" s="88"/>
      <c r="CG80" s="99"/>
      <c r="CI80" s="99"/>
      <c r="CJ80" s="99"/>
      <c r="CK80" s="99"/>
      <c r="CL80" s="100"/>
      <c r="CM80" s="88"/>
      <c r="CN80" s="88"/>
      <c r="CO80" s="173"/>
      <c r="CS80" s="121"/>
      <c r="CT80" s="121"/>
      <c r="DG80" s="80"/>
      <c r="DQ80" s="86"/>
      <c r="DZ80" s="88"/>
      <c r="EQ80" s="251"/>
    </row>
    <row r="81" spans="1:147" s="3" customFormat="1" ht="12">
      <c r="A81" s="103"/>
      <c r="B81" s="103"/>
      <c r="C81" s="176"/>
      <c r="E81" s="43"/>
      <c r="G81" s="43"/>
      <c r="R81" s="43"/>
      <c r="T81" s="43"/>
      <c r="U81" s="176"/>
      <c r="V81" s="98"/>
      <c r="W81" s="98"/>
      <c r="X81" s="98"/>
      <c r="Y81" s="98"/>
      <c r="Z81" s="43"/>
      <c r="AA81" s="43"/>
      <c r="AB81" s="43"/>
      <c r="AC81" s="43"/>
      <c r="AD81" s="43"/>
      <c r="AE81" s="43"/>
      <c r="AF81" s="43"/>
      <c r="AG81" s="43"/>
      <c r="AM81" s="176"/>
      <c r="AN81" s="43"/>
      <c r="AO81" s="43"/>
      <c r="AP81" s="43"/>
      <c r="AQ81" s="43"/>
      <c r="AW81" s="43"/>
      <c r="AX81" s="43"/>
      <c r="AY81" s="43"/>
      <c r="AZ81" s="43"/>
      <c r="BA81" s="43"/>
      <c r="BE81" s="173"/>
      <c r="BF81" s="43"/>
      <c r="BG81" s="43"/>
      <c r="BU81" s="43"/>
      <c r="BV81" s="206"/>
      <c r="BW81" s="217"/>
      <c r="BX81" s="88"/>
      <c r="BY81" s="88"/>
      <c r="BZ81" s="88"/>
      <c r="CA81" s="88"/>
      <c r="CG81" s="99"/>
      <c r="CI81" s="99"/>
      <c r="CJ81" s="99"/>
      <c r="CK81" s="98"/>
      <c r="CL81" s="98"/>
      <c r="CM81" s="79"/>
      <c r="CN81" s="79"/>
      <c r="CO81" s="173"/>
      <c r="CS81" s="121"/>
      <c r="CT81" s="121"/>
      <c r="DG81" s="80"/>
      <c r="DQ81" s="86"/>
      <c r="DZ81" s="88"/>
      <c r="EQ81" s="251"/>
    </row>
    <row r="82" spans="1:147" s="3" customFormat="1" ht="12">
      <c r="A82" s="103"/>
      <c r="B82" s="103"/>
      <c r="C82" s="176"/>
      <c r="E82" s="43"/>
      <c r="G82" s="43"/>
      <c r="R82" s="43"/>
      <c r="T82" s="43"/>
      <c r="U82" s="176"/>
      <c r="V82" s="98"/>
      <c r="W82" s="98"/>
      <c r="X82" s="98"/>
      <c r="Y82" s="98"/>
      <c r="AB82" s="43"/>
      <c r="AM82" s="176"/>
      <c r="AN82" s="43"/>
      <c r="AO82" s="43"/>
      <c r="AP82" s="43"/>
      <c r="AQ82" s="43"/>
      <c r="AR82" s="43"/>
      <c r="AW82" s="43"/>
      <c r="AX82" s="43"/>
      <c r="AY82" s="30"/>
      <c r="AZ82" s="29"/>
      <c r="BA82" s="43"/>
      <c r="BE82" s="173"/>
      <c r="BG82" s="43"/>
      <c r="BI82" s="43"/>
      <c r="BO82" s="43"/>
      <c r="BU82" s="43"/>
      <c r="BV82" s="188"/>
      <c r="BW82" s="216"/>
      <c r="BX82" s="88"/>
      <c r="BY82" s="88"/>
      <c r="BZ82" s="88"/>
      <c r="CA82" s="88"/>
      <c r="CG82" s="99"/>
      <c r="CI82" s="99"/>
      <c r="CJ82" s="99"/>
      <c r="CK82" s="99"/>
      <c r="CL82" s="100"/>
      <c r="CM82" s="88"/>
      <c r="CN82" s="88"/>
      <c r="CO82" s="173"/>
      <c r="CS82" s="121"/>
      <c r="CT82" s="121"/>
      <c r="DG82" s="80"/>
      <c r="DQ82" s="86"/>
      <c r="DZ82" s="88"/>
      <c r="EQ82" s="251"/>
    </row>
    <row r="83" spans="1:147" s="3" customFormat="1" ht="12">
      <c r="A83" s="103"/>
      <c r="B83" s="103"/>
      <c r="C83" s="176"/>
      <c r="E83" s="43"/>
      <c r="G83" s="43"/>
      <c r="R83" s="43"/>
      <c r="T83" s="43"/>
      <c r="U83" s="172"/>
      <c r="V83" s="79"/>
      <c r="W83" s="79"/>
      <c r="X83" s="79"/>
      <c r="Y83" s="79"/>
      <c r="AB83" s="43"/>
      <c r="AM83" s="172"/>
      <c r="AN83" s="43"/>
      <c r="AO83" s="79"/>
      <c r="AP83" s="79"/>
      <c r="AQ83" s="79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E83" s="173"/>
      <c r="BG83" s="43"/>
      <c r="BV83" s="188"/>
      <c r="BW83" s="216"/>
      <c r="BX83" s="88"/>
      <c r="BY83" s="88"/>
      <c r="BZ83" s="88"/>
      <c r="CA83" s="88"/>
      <c r="CG83" s="88"/>
      <c r="CI83" s="99"/>
      <c r="CJ83" s="88"/>
      <c r="CK83" s="99"/>
      <c r="CL83" s="100"/>
      <c r="CM83" s="88"/>
      <c r="CN83" s="88"/>
      <c r="CO83" s="173"/>
      <c r="CS83" s="121"/>
      <c r="CT83" s="121"/>
      <c r="DG83" s="80"/>
      <c r="DQ83" s="86"/>
      <c r="DZ83" s="88"/>
      <c r="EQ83" s="251"/>
    </row>
    <row r="84" spans="1:147" s="88" customFormat="1" ht="12">
      <c r="A84" s="80"/>
      <c r="B84" s="80"/>
      <c r="C84" s="172"/>
      <c r="G84" s="79"/>
      <c r="T84" s="43"/>
      <c r="U84" s="172"/>
      <c r="V84" s="79"/>
      <c r="W84" s="79"/>
      <c r="X84" s="79"/>
      <c r="Y84" s="79"/>
      <c r="AM84" s="172"/>
      <c r="AN84" s="79"/>
      <c r="AO84" s="79"/>
      <c r="AP84" s="79"/>
      <c r="AQ84" s="79"/>
      <c r="AR84" s="3"/>
      <c r="AS84" s="3"/>
      <c r="AT84" s="3"/>
      <c r="AU84" s="3"/>
      <c r="AV84" s="3"/>
      <c r="AW84" s="3"/>
      <c r="AX84" s="3"/>
      <c r="AY84" s="32"/>
      <c r="AZ84" s="32"/>
      <c r="BA84" s="3"/>
      <c r="BB84" s="86"/>
      <c r="BC84" s="86"/>
      <c r="BD84" s="86"/>
      <c r="BE84" s="174"/>
      <c r="BF84" s="79"/>
      <c r="BG84" s="79"/>
      <c r="BH84" s="79"/>
      <c r="BI84" s="79"/>
      <c r="BJ84" s="3"/>
      <c r="BK84" s="3"/>
      <c r="BL84" s="3"/>
      <c r="BM84" s="3"/>
      <c r="BN84" s="3"/>
      <c r="BO84" s="79"/>
      <c r="BP84" s="79"/>
      <c r="BQ84" s="79"/>
      <c r="BR84" s="79"/>
      <c r="BS84" s="79"/>
      <c r="BT84" s="79"/>
      <c r="BU84" s="79"/>
      <c r="BV84" s="188"/>
      <c r="BW84" s="216"/>
      <c r="CB84" s="3"/>
      <c r="CC84" s="3"/>
      <c r="CD84" s="3"/>
      <c r="CE84" s="3"/>
      <c r="CF84" s="3"/>
      <c r="CL84" s="92"/>
      <c r="CO84" s="208"/>
      <c r="CS84" s="120"/>
      <c r="CT84" s="120"/>
      <c r="DG84" s="80"/>
      <c r="DQ84" s="80"/>
      <c r="EQ84" s="250"/>
    </row>
    <row r="85" spans="1:147" s="88" customFormat="1" ht="12">
      <c r="A85" s="87"/>
      <c r="B85" s="87"/>
      <c r="C85" s="172"/>
      <c r="E85" s="79"/>
      <c r="G85" s="79"/>
      <c r="I85" s="79"/>
      <c r="M85" s="79"/>
      <c r="Q85" s="79"/>
      <c r="R85" s="79"/>
      <c r="T85" s="43"/>
      <c r="U85" s="172"/>
      <c r="V85" s="79"/>
      <c r="W85" s="79"/>
      <c r="X85" s="79"/>
      <c r="Y85" s="79"/>
      <c r="AM85" s="172"/>
      <c r="AN85" s="79"/>
      <c r="AO85" s="79"/>
      <c r="AP85" s="79"/>
      <c r="AQ85" s="79"/>
      <c r="AS85" s="79"/>
      <c r="AT85" s="79"/>
      <c r="AU85" s="79"/>
      <c r="AV85" s="79"/>
      <c r="AW85" s="79"/>
      <c r="AX85" s="79"/>
      <c r="AY85" s="79"/>
      <c r="AZ85" s="79"/>
      <c r="BA85" s="79"/>
      <c r="BB85" s="34"/>
      <c r="BC85" s="34"/>
      <c r="BD85" s="34"/>
      <c r="BE85" s="222"/>
      <c r="BG85" s="79"/>
      <c r="BJ85" s="90"/>
      <c r="BK85" s="90"/>
      <c r="BL85" s="90"/>
      <c r="BM85" s="90"/>
      <c r="BN85" s="91"/>
      <c r="BP85" s="79"/>
      <c r="BR85" s="79"/>
      <c r="BS85" s="79"/>
      <c r="BT85" s="79"/>
      <c r="BU85" s="79"/>
      <c r="BV85" s="77"/>
      <c r="BW85" s="213"/>
      <c r="CB85" s="90"/>
      <c r="CC85" s="90"/>
      <c r="CD85" s="90"/>
      <c r="CE85" s="91"/>
      <c r="CF85" s="90"/>
      <c r="CH85" s="79"/>
      <c r="CL85" s="92"/>
      <c r="CO85" s="172"/>
      <c r="CP85" s="79"/>
      <c r="CQ85" s="79"/>
      <c r="CR85" s="79"/>
      <c r="CS85" s="120"/>
      <c r="CT85" s="120"/>
      <c r="CU85" s="79"/>
      <c r="CV85" s="79"/>
      <c r="CW85" s="79"/>
      <c r="CX85" s="79"/>
      <c r="DG85" s="80"/>
      <c r="DQ85" s="80"/>
      <c r="EQ85" s="250"/>
    </row>
    <row r="86" spans="2:147" s="3" customFormat="1" ht="12">
      <c r="B86" s="86"/>
      <c r="C86" s="173"/>
      <c r="U86" s="173"/>
      <c r="AM86" s="173"/>
      <c r="AR86" s="79"/>
      <c r="BE86" s="173"/>
      <c r="BG86" s="79"/>
      <c r="BH86" s="88"/>
      <c r="BO86" s="88"/>
      <c r="BQ86" s="88"/>
      <c r="BV86" s="56"/>
      <c r="BW86" s="214"/>
      <c r="CK86" s="88"/>
      <c r="CL86" s="92"/>
      <c r="CM86" s="88"/>
      <c r="CN86" s="88"/>
      <c r="CO86" s="173"/>
      <c r="DG86" s="80"/>
      <c r="DQ86" s="86"/>
      <c r="DZ86" s="88"/>
      <c r="EQ86" s="173"/>
    </row>
    <row r="87" spans="1:147" s="3" customFormat="1" ht="12">
      <c r="A87" s="86"/>
      <c r="C87" s="173"/>
      <c r="U87" s="173"/>
      <c r="AM87" s="173"/>
      <c r="BE87" s="173"/>
      <c r="BW87" s="173"/>
      <c r="CL87" s="94"/>
      <c r="CO87" s="173"/>
      <c r="DG87" s="80"/>
      <c r="DQ87" s="86"/>
      <c r="DZ87" s="88"/>
      <c r="EQ87" s="173"/>
    </row>
    <row r="88" spans="3:147" s="3" customFormat="1" ht="12">
      <c r="C88" s="173"/>
      <c r="U88" s="173"/>
      <c r="AM88" s="173"/>
      <c r="BE88" s="173"/>
      <c r="BW88" s="173"/>
      <c r="CL88" s="94"/>
      <c r="CO88" s="173"/>
      <c r="DG88" s="80"/>
      <c r="DQ88" s="86"/>
      <c r="DZ88" s="88"/>
      <c r="EQ88" s="173"/>
    </row>
    <row r="89" spans="3:147" s="3" customFormat="1" ht="12">
      <c r="C89" s="173"/>
      <c r="U89" s="173"/>
      <c r="AM89" s="173"/>
      <c r="BE89" s="173"/>
      <c r="BW89" s="173"/>
      <c r="CL89" s="94"/>
      <c r="CO89" s="173"/>
      <c r="DG89" s="80"/>
      <c r="DQ89" s="86"/>
      <c r="DZ89" s="88"/>
      <c r="EQ89" s="173"/>
    </row>
    <row r="90" spans="2:147" s="11" customFormat="1" ht="15.75">
      <c r="B90" s="1"/>
      <c r="C90" s="164"/>
      <c r="U90" s="164"/>
      <c r="AM90" s="164"/>
      <c r="BB90" s="67"/>
      <c r="BC90" s="67"/>
      <c r="BD90" s="67"/>
      <c r="BE90" s="223"/>
      <c r="BW90" s="164"/>
      <c r="CL90" s="68"/>
      <c r="CO90" s="164"/>
      <c r="DG90" s="184"/>
      <c r="DQ90" s="184"/>
      <c r="EQ90" s="164"/>
    </row>
    <row r="91" spans="2:147" s="11" customFormat="1" ht="15.75">
      <c r="B91" s="1"/>
      <c r="C91" s="164"/>
      <c r="U91" s="164"/>
      <c r="AM91" s="164"/>
      <c r="BB91" s="67"/>
      <c r="BC91" s="67"/>
      <c r="BD91" s="67"/>
      <c r="BE91" s="223"/>
      <c r="BW91" s="164"/>
      <c r="CL91" s="68"/>
      <c r="CO91" s="164"/>
      <c r="DG91" s="184"/>
      <c r="DQ91" s="184"/>
      <c r="EQ91" s="164"/>
    </row>
    <row r="92" spans="2:147" s="11" customFormat="1" ht="12">
      <c r="B92" s="58"/>
      <c r="C92" s="164"/>
      <c r="U92" s="164"/>
      <c r="AM92" s="164"/>
      <c r="BB92" s="67"/>
      <c r="BC92" s="67"/>
      <c r="BD92" s="67"/>
      <c r="BE92" s="223"/>
      <c r="BW92" s="164"/>
      <c r="CL92" s="68"/>
      <c r="CO92" s="164"/>
      <c r="DG92" s="184"/>
      <c r="DQ92" s="184"/>
      <c r="EQ92" s="164"/>
    </row>
    <row r="93" spans="1:147" s="88" customFormat="1" ht="12.75">
      <c r="A93" s="69"/>
      <c r="C93" s="74"/>
      <c r="D93" s="202"/>
      <c r="E93" s="202"/>
      <c r="F93" s="202"/>
      <c r="G93" s="202"/>
      <c r="H93" s="202"/>
      <c r="I93" s="202"/>
      <c r="J93" s="202"/>
      <c r="K93" s="202"/>
      <c r="L93" s="202"/>
      <c r="M93" s="202"/>
      <c r="N93" s="202"/>
      <c r="O93" s="202"/>
      <c r="P93" s="202"/>
      <c r="Q93" s="202"/>
      <c r="R93" s="202"/>
      <c r="S93" s="202"/>
      <c r="T93" s="202"/>
      <c r="U93" s="74"/>
      <c r="V93" s="202"/>
      <c r="W93" s="202"/>
      <c r="X93" s="202"/>
      <c r="Y93" s="202"/>
      <c r="Z93" s="202"/>
      <c r="AA93" s="202"/>
      <c r="AB93" s="202"/>
      <c r="AC93" s="202"/>
      <c r="AD93" s="202"/>
      <c r="AE93" s="202"/>
      <c r="AF93" s="202"/>
      <c r="AG93" s="202"/>
      <c r="AH93" s="202"/>
      <c r="AI93" s="202"/>
      <c r="AJ93" s="202"/>
      <c r="AK93" s="202"/>
      <c r="AL93" s="202"/>
      <c r="AM93" s="74"/>
      <c r="AN93" s="202"/>
      <c r="AO93" s="202"/>
      <c r="AP93" s="202"/>
      <c r="AQ93" s="202"/>
      <c r="AR93" s="202"/>
      <c r="AS93" s="202"/>
      <c r="AT93" s="202"/>
      <c r="AU93" s="202"/>
      <c r="AV93" s="202"/>
      <c r="AW93" s="202"/>
      <c r="AX93" s="202"/>
      <c r="AY93" s="202"/>
      <c r="AZ93" s="202"/>
      <c r="BA93" s="202"/>
      <c r="BB93" s="202"/>
      <c r="BC93" s="202"/>
      <c r="BD93" s="202"/>
      <c r="BE93" s="224"/>
      <c r="BF93" s="202"/>
      <c r="BG93" s="202"/>
      <c r="BH93" s="202"/>
      <c r="BI93" s="202"/>
      <c r="BJ93" s="202"/>
      <c r="BK93" s="202"/>
      <c r="BL93" s="202"/>
      <c r="BM93" s="202"/>
      <c r="BN93" s="202"/>
      <c r="BO93" s="202"/>
      <c r="BP93" s="202"/>
      <c r="BQ93" s="202"/>
      <c r="BR93" s="202"/>
      <c r="BS93" s="202"/>
      <c r="BT93" s="202"/>
      <c r="BW93" s="208"/>
      <c r="BX93" s="202"/>
      <c r="BY93" s="202"/>
      <c r="BZ93" s="202"/>
      <c r="CA93" s="202"/>
      <c r="CB93" s="202"/>
      <c r="CC93" s="202"/>
      <c r="CD93" s="202"/>
      <c r="CE93" s="202"/>
      <c r="CF93" s="202"/>
      <c r="CG93" s="202"/>
      <c r="CH93" s="202"/>
      <c r="CI93" s="202"/>
      <c r="CJ93" s="202"/>
      <c r="CK93" s="202"/>
      <c r="CL93" s="202"/>
      <c r="CO93" s="208"/>
      <c r="CP93" s="202"/>
      <c r="CQ93" s="202"/>
      <c r="CR93" s="202"/>
      <c r="CS93" s="202"/>
      <c r="CT93" s="202"/>
      <c r="CU93" s="202"/>
      <c r="CV93" s="202"/>
      <c r="CW93" s="202"/>
      <c r="CX93" s="202"/>
      <c r="CY93" s="202"/>
      <c r="CZ93" s="202"/>
      <c r="DA93" s="202"/>
      <c r="DB93" s="202"/>
      <c r="DC93" s="202"/>
      <c r="DD93" s="202"/>
      <c r="DG93" s="80"/>
      <c r="DQ93" s="80"/>
      <c r="EQ93" s="208"/>
    </row>
    <row r="94" spans="3:147" s="14" customFormat="1" ht="12.75">
      <c r="C94" s="74"/>
      <c r="U94" s="74"/>
      <c r="AM94" s="74"/>
      <c r="BE94" s="74"/>
      <c r="BW94" s="74"/>
      <c r="CL94" s="204"/>
      <c r="CO94" s="74"/>
      <c r="DG94" s="189"/>
      <c r="DQ94" s="189"/>
      <c r="EQ94" s="74"/>
    </row>
    <row r="95" spans="3:147" s="3" customFormat="1" ht="12">
      <c r="C95" s="173"/>
      <c r="U95" s="173"/>
      <c r="AM95" s="176"/>
      <c r="BE95" s="173"/>
      <c r="BW95" s="173"/>
      <c r="CL95" s="94"/>
      <c r="CO95" s="173"/>
      <c r="DG95" s="80"/>
      <c r="DQ95" s="86"/>
      <c r="DZ95" s="88"/>
      <c r="EQ95" s="173"/>
    </row>
    <row r="96" spans="3:147" s="88" customFormat="1" ht="12">
      <c r="C96" s="172"/>
      <c r="E96" s="79"/>
      <c r="G96" s="79"/>
      <c r="K96" s="79"/>
      <c r="L96" s="79"/>
      <c r="M96" s="79"/>
      <c r="R96" s="79"/>
      <c r="U96" s="172"/>
      <c r="V96" s="79"/>
      <c r="W96" s="79"/>
      <c r="X96" s="79"/>
      <c r="Y96" s="79"/>
      <c r="AB96" s="79"/>
      <c r="AD96" s="79"/>
      <c r="AF96" s="79"/>
      <c r="AH96" s="79"/>
      <c r="AI96" s="79"/>
      <c r="AM96" s="172"/>
      <c r="AN96" s="79"/>
      <c r="AO96" s="79"/>
      <c r="AP96" s="79"/>
      <c r="AQ96" s="79"/>
      <c r="AR96" s="79"/>
      <c r="AS96" s="79"/>
      <c r="AT96" s="79"/>
      <c r="AU96" s="79"/>
      <c r="AV96" s="79"/>
      <c r="AW96" s="79"/>
      <c r="AX96" s="79"/>
      <c r="AY96" s="79"/>
      <c r="AZ96" s="79"/>
      <c r="BA96" s="79"/>
      <c r="BB96" s="79"/>
      <c r="BC96" s="79"/>
      <c r="BD96" s="79"/>
      <c r="BE96" s="172"/>
      <c r="BG96" s="79"/>
      <c r="BI96" s="79"/>
      <c r="BJ96" s="90"/>
      <c r="BK96" s="90"/>
      <c r="BL96" s="90"/>
      <c r="BM96" s="90"/>
      <c r="BN96" s="90"/>
      <c r="BO96" s="90"/>
      <c r="BT96" s="79"/>
      <c r="BU96" s="56"/>
      <c r="BV96" s="56"/>
      <c r="BW96" s="214"/>
      <c r="CB96" s="90"/>
      <c r="CC96" s="90"/>
      <c r="CD96" s="90"/>
      <c r="CE96" s="90"/>
      <c r="CF96" s="90"/>
      <c r="CG96" s="90"/>
      <c r="CH96" s="90"/>
      <c r="CI96" s="90"/>
      <c r="CJ96" s="90"/>
      <c r="CK96" s="90"/>
      <c r="CL96" s="90"/>
      <c r="CO96" s="208"/>
      <c r="DG96" s="80"/>
      <c r="DQ96" s="80"/>
      <c r="EQ96" s="208"/>
    </row>
    <row r="97" spans="3:147" s="3" customFormat="1" ht="12">
      <c r="C97" s="172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U97" s="172"/>
      <c r="V97" s="79"/>
      <c r="W97" s="79"/>
      <c r="X97" s="79"/>
      <c r="Y97" s="79"/>
      <c r="AD97" s="88"/>
      <c r="AF97" s="79"/>
      <c r="AG97" s="79"/>
      <c r="AM97" s="172"/>
      <c r="AN97" s="79"/>
      <c r="AO97" s="79"/>
      <c r="AP97" s="79"/>
      <c r="AQ97" s="79"/>
      <c r="AR97" s="43"/>
      <c r="AS97" s="77"/>
      <c r="AT97" s="79"/>
      <c r="AU97" s="43"/>
      <c r="AV97" s="43"/>
      <c r="AW97" s="43"/>
      <c r="AX97" s="43"/>
      <c r="AY97" s="78"/>
      <c r="AZ97" s="78"/>
      <c r="BB97" s="78"/>
      <c r="BC97" s="78"/>
      <c r="BD97" s="78"/>
      <c r="BE97" s="225"/>
      <c r="BF97" s="88"/>
      <c r="BG97" s="88"/>
      <c r="BH97" s="88"/>
      <c r="BI97" s="88"/>
      <c r="BJ97" s="90"/>
      <c r="BK97" s="90"/>
      <c r="BL97" s="90"/>
      <c r="BM97" s="90"/>
      <c r="BN97" s="90"/>
      <c r="BO97" s="88"/>
      <c r="BP97" s="88"/>
      <c r="BQ97" s="88"/>
      <c r="BR97" s="88"/>
      <c r="BS97" s="88"/>
      <c r="BT97" s="88"/>
      <c r="BU97" s="88"/>
      <c r="BV97" s="56"/>
      <c r="BW97" s="214"/>
      <c r="BX97" s="88"/>
      <c r="BY97" s="88"/>
      <c r="BZ97" s="88"/>
      <c r="CA97" s="88"/>
      <c r="CB97" s="90"/>
      <c r="CC97" s="90"/>
      <c r="CD97" s="90"/>
      <c r="CE97" s="90"/>
      <c r="CF97" s="90"/>
      <c r="CG97" s="90"/>
      <c r="CH97" s="90"/>
      <c r="CI97" s="90"/>
      <c r="CJ97" s="90"/>
      <c r="CK97" s="90"/>
      <c r="CL97" s="90"/>
      <c r="CM97" s="88"/>
      <c r="CN97" s="88"/>
      <c r="CO97" s="173"/>
      <c r="DG97" s="80"/>
      <c r="DQ97" s="86"/>
      <c r="DZ97" s="88"/>
      <c r="EQ97" s="251"/>
    </row>
    <row r="98" spans="3:147" s="88" customFormat="1" ht="12">
      <c r="C98" s="172"/>
      <c r="E98" s="79"/>
      <c r="G98" s="79"/>
      <c r="M98" s="79"/>
      <c r="Q98" s="79"/>
      <c r="R98" s="79"/>
      <c r="U98" s="172"/>
      <c r="V98" s="79"/>
      <c r="W98" s="79"/>
      <c r="X98" s="79"/>
      <c r="Y98" s="79"/>
      <c r="Z98" s="79"/>
      <c r="AA98" s="79"/>
      <c r="AC98" s="79"/>
      <c r="AE98" s="79"/>
      <c r="AF98" s="79"/>
      <c r="AH98" s="79"/>
      <c r="AI98" s="79"/>
      <c r="AM98" s="172"/>
      <c r="AN98" s="79"/>
      <c r="AO98" s="79"/>
      <c r="AP98" s="79"/>
      <c r="AQ98" s="79"/>
      <c r="AR98" s="52"/>
      <c r="AS98" s="52"/>
      <c r="AT98" s="52"/>
      <c r="AU98" s="79"/>
      <c r="AV98" s="79"/>
      <c r="AW98" s="79"/>
      <c r="AX98" s="79"/>
      <c r="AY98" s="34"/>
      <c r="AZ98" s="34"/>
      <c r="BA98" s="79"/>
      <c r="BB98" s="80"/>
      <c r="BC98" s="80"/>
      <c r="BD98" s="80"/>
      <c r="BE98" s="226"/>
      <c r="BG98" s="79"/>
      <c r="BJ98" s="90"/>
      <c r="BK98" s="90"/>
      <c r="BL98" s="90"/>
      <c r="BM98" s="90"/>
      <c r="BN98" s="90"/>
      <c r="BU98" s="81"/>
      <c r="BV98" s="56"/>
      <c r="BW98" s="214"/>
      <c r="CB98" s="90"/>
      <c r="CC98" s="90"/>
      <c r="CD98" s="90"/>
      <c r="CE98" s="90"/>
      <c r="CF98" s="90"/>
      <c r="CG98" s="90"/>
      <c r="CH98" s="90"/>
      <c r="CI98" s="90"/>
      <c r="CJ98" s="90"/>
      <c r="CK98" s="90"/>
      <c r="CL98" s="90"/>
      <c r="CO98" s="208"/>
      <c r="DG98" s="80"/>
      <c r="DQ98" s="80"/>
      <c r="EQ98" s="250"/>
    </row>
    <row r="99" spans="3:147" s="3" customFormat="1" ht="12">
      <c r="C99" s="176"/>
      <c r="E99" s="43"/>
      <c r="G99" s="43"/>
      <c r="P99" s="43"/>
      <c r="R99" s="43"/>
      <c r="U99" s="176"/>
      <c r="V99" s="98"/>
      <c r="W99" s="98"/>
      <c r="X99" s="98"/>
      <c r="Y99" s="98"/>
      <c r="AF99" s="43"/>
      <c r="AM99" s="176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E99" s="173"/>
      <c r="BG99" s="43"/>
      <c r="BS99" s="86"/>
      <c r="BU99" s="82"/>
      <c r="BV99" s="205"/>
      <c r="BW99" s="215"/>
      <c r="BX99" s="88"/>
      <c r="BY99" s="88"/>
      <c r="BZ99" s="88"/>
      <c r="CA99" s="88"/>
      <c r="CB99" s="99"/>
      <c r="CC99" s="99"/>
      <c r="CD99" s="99"/>
      <c r="CE99" s="99"/>
      <c r="CF99" s="99"/>
      <c r="CG99" s="99"/>
      <c r="CH99" s="99"/>
      <c r="CI99" s="99"/>
      <c r="CJ99" s="99"/>
      <c r="CK99" s="99"/>
      <c r="CL99" s="99"/>
      <c r="CM99" s="88"/>
      <c r="CN99" s="88"/>
      <c r="CO99" s="173"/>
      <c r="DG99" s="80"/>
      <c r="DQ99" s="86"/>
      <c r="DZ99" s="88"/>
      <c r="EQ99" s="173"/>
    </row>
    <row r="100" spans="3:147" s="3" customFormat="1" ht="12">
      <c r="C100" s="172"/>
      <c r="E100" s="43"/>
      <c r="G100" s="43"/>
      <c r="R100" s="43"/>
      <c r="U100" s="176"/>
      <c r="V100" s="98"/>
      <c r="W100" s="98"/>
      <c r="X100" s="98"/>
      <c r="Y100" s="98"/>
      <c r="AA100" s="43"/>
      <c r="AB100" s="43"/>
      <c r="AF100" s="43"/>
      <c r="AJ100" s="43"/>
      <c r="AM100" s="176"/>
      <c r="AN100" s="43"/>
      <c r="AO100" s="43"/>
      <c r="AP100" s="43"/>
      <c r="AQ100" s="43"/>
      <c r="AR100" s="26"/>
      <c r="AS100" s="26"/>
      <c r="AT100" s="43"/>
      <c r="AU100" s="43"/>
      <c r="AV100" s="43"/>
      <c r="AW100" s="43"/>
      <c r="AX100" s="43"/>
      <c r="AY100" s="43"/>
      <c r="AZ100" s="43"/>
      <c r="BA100" s="43"/>
      <c r="BE100" s="173"/>
      <c r="BG100" s="43"/>
      <c r="BO100" s="88"/>
      <c r="BS100" s="86"/>
      <c r="BU100" s="86"/>
      <c r="BV100" s="56"/>
      <c r="BW100" s="214"/>
      <c r="BX100" s="88"/>
      <c r="BY100" s="88"/>
      <c r="BZ100" s="88"/>
      <c r="CA100" s="88"/>
      <c r="CB100" s="99"/>
      <c r="CC100" s="99"/>
      <c r="CD100" s="99"/>
      <c r="CE100" s="99"/>
      <c r="CF100" s="99"/>
      <c r="CG100" s="99"/>
      <c r="CH100" s="99"/>
      <c r="CI100" s="99"/>
      <c r="CJ100" s="99"/>
      <c r="CK100" s="99"/>
      <c r="CL100" s="99"/>
      <c r="CM100" s="88"/>
      <c r="CN100" s="88"/>
      <c r="CO100" s="173"/>
      <c r="DG100" s="80"/>
      <c r="DQ100" s="86"/>
      <c r="DZ100" s="88"/>
      <c r="EQ100" s="173"/>
    </row>
    <row r="101" spans="3:147" s="3" customFormat="1" ht="12">
      <c r="C101" s="176"/>
      <c r="E101" s="43"/>
      <c r="G101" s="43"/>
      <c r="I101" s="43"/>
      <c r="R101" s="43"/>
      <c r="U101" s="176"/>
      <c r="V101" s="98"/>
      <c r="W101" s="98"/>
      <c r="X101" s="98"/>
      <c r="Y101" s="98"/>
      <c r="AC101" s="43"/>
      <c r="AD101" s="43"/>
      <c r="AE101" s="43"/>
      <c r="AH101" s="43"/>
      <c r="AM101" s="176"/>
      <c r="AN101" s="43"/>
      <c r="AO101" s="43"/>
      <c r="AP101" s="43"/>
      <c r="AQ101" s="43"/>
      <c r="AR101" s="26"/>
      <c r="AS101" s="26"/>
      <c r="AT101" s="43"/>
      <c r="AU101" s="43"/>
      <c r="AV101" s="43"/>
      <c r="AW101" s="43"/>
      <c r="AX101" s="43"/>
      <c r="AY101" s="43"/>
      <c r="AZ101" s="43"/>
      <c r="BA101" s="43"/>
      <c r="BC101" s="43"/>
      <c r="BD101" s="43"/>
      <c r="BE101" s="176"/>
      <c r="BF101" s="43"/>
      <c r="BG101" s="43"/>
      <c r="BP101" s="43"/>
      <c r="BQ101" s="43"/>
      <c r="BS101" s="101"/>
      <c r="BU101" s="30"/>
      <c r="BV101" s="205"/>
      <c r="BW101" s="215"/>
      <c r="BX101" s="88"/>
      <c r="BY101" s="88"/>
      <c r="BZ101" s="88"/>
      <c r="CA101" s="88"/>
      <c r="CB101" s="99"/>
      <c r="CC101" s="99"/>
      <c r="CD101" s="99"/>
      <c r="CE101" s="99"/>
      <c r="CF101" s="99"/>
      <c r="CG101" s="99"/>
      <c r="CH101" s="99"/>
      <c r="CI101" s="99"/>
      <c r="CJ101" s="99"/>
      <c r="CK101" s="99"/>
      <c r="CL101" s="99"/>
      <c r="CM101" s="88"/>
      <c r="CN101" s="88"/>
      <c r="CO101" s="173"/>
      <c r="DG101" s="80"/>
      <c r="DQ101" s="86"/>
      <c r="DZ101" s="88"/>
      <c r="EQ101" s="173"/>
    </row>
    <row r="102" spans="2:147" s="3" customFormat="1" ht="12">
      <c r="B102" s="43"/>
      <c r="C102" s="176"/>
      <c r="E102" s="43"/>
      <c r="G102" s="43"/>
      <c r="I102" s="43"/>
      <c r="R102" s="43"/>
      <c r="U102" s="176"/>
      <c r="V102" s="79"/>
      <c r="W102" s="79"/>
      <c r="X102" s="79"/>
      <c r="Y102" s="79"/>
      <c r="AC102" s="43"/>
      <c r="AD102" s="43"/>
      <c r="AE102" s="43"/>
      <c r="AH102" s="43"/>
      <c r="AM102" s="176"/>
      <c r="AN102" s="79"/>
      <c r="AO102" s="43"/>
      <c r="AP102" s="79"/>
      <c r="AQ102" s="79"/>
      <c r="AR102" s="26"/>
      <c r="AS102" s="26"/>
      <c r="AT102" s="43"/>
      <c r="AU102" s="43"/>
      <c r="AV102" s="43"/>
      <c r="AW102" s="43"/>
      <c r="AX102" s="43"/>
      <c r="AY102" s="43"/>
      <c r="AZ102" s="43"/>
      <c r="BA102" s="43"/>
      <c r="BE102" s="173"/>
      <c r="BF102" s="43"/>
      <c r="BG102" s="43"/>
      <c r="BH102" s="43"/>
      <c r="BI102" s="43"/>
      <c r="BO102" s="43"/>
      <c r="BP102" s="43"/>
      <c r="BQ102" s="43"/>
      <c r="BR102" s="43"/>
      <c r="BS102" s="43"/>
      <c r="BT102" s="43"/>
      <c r="BU102" s="43"/>
      <c r="BV102" s="56"/>
      <c r="BW102" s="214"/>
      <c r="BX102" s="88"/>
      <c r="BY102" s="88"/>
      <c r="BZ102" s="88"/>
      <c r="CA102" s="88"/>
      <c r="CB102" s="90"/>
      <c r="CC102" s="90"/>
      <c r="CD102" s="90"/>
      <c r="CE102" s="90"/>
      <c r="CF102" s="90"/>
      <c r="CG102" s="90"/>
      <c r="CH102" s="90"/>
      <c r="CI102" s="90"/>
      <c r="CJ102" s="90"/>
      <c r="CK102" s="90"/>
      <c r="CL102" s="90"/>
      <c r="CM102" s="88"/>
      <c r="CN102" s="88"/>
      <c r="CO102" s="173"/>
      <c r="DG102" s="80"/>
      <c r="DQ102" s="86"/>
      <c r="DZ102" s="88"/>
      <c r="EQ102" s="173"/>
    </row>
    <row r="103" spans="3:147" s="3" customFormat="1" ht="12">
      <c r="C103" s="176"/>
      <c r="E103" s="43"/>
      <c r="G103" s="43"/>
      <c r="I103" s="43"/>
      <c r="R103" s="43"/>
      <c r="U103" s="172"/>
      <c r="V103" s="79"/>
      <c r="W103" s="79"/>
      <c r="X103" s="79"/>
      <c r="Y103" s="79"/>
      <c r="AC103" s="43"/>
      <c r="AD103" s="43"/>
      <c r="AE103" s="43"/>
      <c r="AH103" s="43"/>
      <c r="AM103" s="176"/>
      <c r="AN103" s="79"/>
      <c r="AO103" s="79"/>
      <c r="AP103" s="79"/>
      <c r="AQ103" s="79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E103" s="173"/>
      <c r="BG103" s="43"/>
      <c r="BU103" s="29"/>
      <c r="BV103" s="56"/>
      <c r="BW103" s="214"/>
      <c r="BX103" s="88"/>
      <c r="BY103" s="88"/>
      <c r="BZ103" s="88"/>
      <c r="CA103" s="88"/>
      <c r="CB103" s="90"/>
      <c r="CC103" s="90"/>
      <c r="CD103" s="90"/>
      <c r="CE103" s="90"/>
      <c r="CF103" s="90"/>
      <c r="CG103" s="90"/>
      <c r="CH103" s="90"/>
      <c r="CI103" s="90"/>
      <c r="CJ103" s="90"/>
      <c r="CK103" s="90"/>
      <c r="CL103" s="90"/>
      <c r="CM103" s="88"/>
      <c r="CN103" s="88"/>
      <c r="CO103" s="173"/>
      <c r="DG103" s="80"/>
      <c r="DQ103" s="86"/>
      <c r="DZ103" s="88"/>
      <c r="EQ103" s="173"/>
    </row>
    <row r="104" spans="1:147" s="88" customFormat="1" ht="12">
      <c r="A104" s="102"/>
      <c r="B104" s="102"/>
      <c r="C104" s="172"/>
      <c r="D104" s="79"/>
      <c r="E104" s="79"/>
      <c r="G104" s="79"/>
      <c r="M104" s="79"/>
      <c r="R104" s="79"/>
      <c r="U104" s="172"/>
      <c r="V104" s="79"/>
      <c r="W104" s="79"/>
      <c r="X104" s="79"/>
      <c r="Y104" s="79"/>
      <c r="AA104" s="79"/>
      <c r="AC104" s="79"/>
      <c r="AE104" s="79"/>
      <c r="AM104" s="172"/>
      <c r="AN104" s="79"/>
      <c r="AO104" s="79"/>
      <c r="AP104" s="79"/>
      <c r="AQ104" s="79"/>
      <c r="AR104" s="24"/>
      <c r="AS104" s="24"/>
      <c r="AT104" s="79"/>
      <c r="AU104" s="79"/>
      <c r="AV104" s="79"/>
      <c r="AW104" s="79"/>
      <c r="AX104" s="79"/>
      <c r="AY104" s="79"/>
      <c r="AZ104" s="79"/>
      <c r="BA104" s="79"/>
      <c r="BB104" s="34"/>
      <c r="BC104" s="80"/>
      <c r="BD104" s="80"/>
      <c r="BE104" s="226"/>
      <c r="BG104" s="79"/>
      <c r="BJ104" s="90"/>
      <c r="BK104" s="90"/>
      <c r="BL104" s="90"/>
      <c r="BM104" s="90"/>
      <c r="BN104" s="90"/>
      <c r="BU104" s="81"/>
      <c r="BV104" s="56"/>
      <c r="BW104" s="214"/>
      <c r="CB104" s="90"/>
      <c r="CC104" s="90"/>
      <c r="CD104" s="90"/>
      <c r="CE104" s="90"/>
      <c r="CF104" s="90"/>
      <c r="CG104" s="90"/>
      <c r="CH104" s="90"/>
      <c r="CI104" s="90"/>
      <c r="CJ104" s="90"/>
      <c r="CK104" s="90"/>
      <c r="CL104" s="90"/>
      <c r="CO104" s="208"/>
      <c r="DG104" s="80"/>
      <c r="DQ104" s="80"/>
      <c r="EQ104" s="208"/>
    </row>
    <row r="105" spans="1:147" s="3" customFormat="1" ht="12">
      <c r="A105" s="103"/>
      <c r="B105" s="103"/>
      <c r="C105" s="172"/>
      <c r="E105" s="43"/>
      <c r="G105" s="43"/>
      <c r="N105" s="88"/>
      <c r="Q105" s="88"/>
      <c r="R105" s="79"/>
      <c r="U105" s="172"/>
      <c r="V105" s="79"/>
      <c r="W105" s="79"/>
      <c r="X105" s="79"/>
      <c r="Y105" s="79"/>
      <c r="Z105" s="88"/>
      <c r="AA105" s="88"/>
      <c r="AB105" s="88"/>
      <c r="AC105" s="79"/>
      <c r="AD105" s="79"/>
      <c r="AE105" s="88"/>
      <c r="AF105" s="88"/>
      <c r="AG105" s="88"/>
      <c r="AH105" s="88"/>
      <c r="AI105" s="88"/>
      <c r="AJ105" s="79"/>
      <c r="AK105" s="88"/>
      <c r="AL105" s="88"/>
      <c r="AM105" s="172"/>
      <c r="AN105" s="79"/>
      <c r="AO105" s="79"/>
      <c r="AP105" s="79"/>
      <c r="AQ105" s="79"/>
      <c r="AR105" s="26"/>
      <c r="AS105" s="26"/>
      <c r="AT105" s="43"/>
      <c r="AU105" s="43"/>
      <c r="AV105" s="43"/>
      <c r="AW105" s="43"/>
      <c r="AX105" s="43"/>
      <c r="AY105" s="43"/>
      <c r="AZ105" s="43"/>
      <c r="BA105" s="43"/>
      <c r="BE105" s="173"/>
      <c r="BF105" s="88"/>
      <c r="BG105" s="79"/>
      <c r="BH105" s="88"/>
      <c r="BI105" s="88"/>
      <c r="BO105" s="88"/>
      <c r="BP105" s="88"/>
      <c r="BV105" s="56"/>
      <c r="BW105" s="214"/>
      <c r="BX105" s="88"/>
      <c r="BY105" s="88"/>
      <c r="BZ105" s="88"/>
      <c r="CA105" s="88"/>
      <c r="CB105" s="90"/>
      <c r="CC105" s="90"/>
      <c r="CD105" s="90"/>
      <c r="CE105" s="90"/>
      <c r="CF105" s="90"/>
      <c r="CG105" s="90"/>
      <c r="CH105" s="90"/>
      <c r="CI105" s="90"/>
      <c r="CJ105" s="90"/>
      <c r="CK105" s="90"/>
      <c r="CL105" s="90"/>
      <c r="CM105" s="88"/>
      <c r="CN105" s="88"/>
      <c r="CO105" s="173"/>
      <c r="DG105" s="80"/>
      <c r="DQ105" s="86"/>
      <c r="DZ105" s="88"/>
      <c r="EQ105" s="251"/>
    </row>
    <row r="106" spans="1:147" s="3" customFormat="1" ht="12">
      <c r="A106" s="104"/>
      <c r="B106" s="104"/>
      <c r="C106" s="176"/>
      <c r="E106" s="43"/>
      <c r="G106" s="43"/>
      <c r="R106" s="43"/>
      <c r="U106" s="176"/>
      <c r="V106" s="98"/>
      <c r="W106" s="98"/>
      <c r="X106" s="98"/>
      <c r="Y106" s="98"/>
      <c r="AM106" s="176"/>
      <c r="AN106" s="43"/>
      <c r="AO106" s="43"/>
      <c r="AP106" s="43"/>
      <c r="AQ106" s="43"/>
      <c r="AR106" s="26"/>
      <c r="AS106" s="26"/>
      <c r="AT106" s="43"/>
      <c r="AU106" s="43"/>
      <c r="AV106" s="43"/>
      <c r="AW106" s="43"/>
      <c r="AX106" s="43"/>
      <c r="AY106" s="43"/>
      <c r="AZ106" s="43"/>
      <c r="BA106" s="43"/>
      <c r="BC106" s="43"/>
      <c r="BD106" s="43"/>
      <c r="BE106" s="176"/>
      <c r="BG106" s="43"/>
      <c r="BM106" s="43"/>
      <c r="BO106" s="43"/>
      <c r="BV106" s="188"/>
      <c r="BW106" s="216"/>
      <c r="BX106" s="88"/>
      <c r="BY106" s="88"/>
      <c r="BZ106" s="88"/>
      <c r="CA106" s="88"/>
      <c r="CB106" s="99"/>
      <c r="CC106" s="99"/>
      <c r="CD106" s="99"/>
      <c r="CE106" s="99"/>
      <c r="CF106" s="99"/>
      <c r="CG106" s="99"/>
      <c r="CH106" s="99"/>
      <c r="CI106" s="99"/>
      <c r="CJ106" s="99"/>
      <c r="CK106" s="99"/>
      <c r="CL106" s="99"/>
      <c r="CM106" s="88"/>
      <c r="CN106" s="88"/>
      <c r="CO106" s="173"/>
      <c r="DG106" s="80"/>
      <c r="DQ106" s="86"/>
      <c r="DZ106" s="88"/>
      <c r="EQ106" s="251"/>
    </row>
    <row r="107" spans="3:147" s="3" customFormat="1" ht="12">
      <c r="C107" s="176"/>
      <c r="E107" s="43"/>
      <c r="G107" s="43"/>
      <c r="H107" s="43"/>
      <c r="M107" s="43"/>
      <c r="R107" s="43"/>
      <c r="T107" s="43"/>
      <c r="U107" s="176"/>
      <c r="V107" s="98"/>
      <c r="W107" s="98"/>
      <c r="X107" s="98"/>
      <c r="Y107" s="98"/>
      <c r="AA107" s="43"/>
      <c r="AD107" s="43"/>
      <c r="AE107" s="43"/>
      <c r="AI107" s="43"/>
      <c r="AM107" s="176"/>
      <c r="AN107" s="43"/>
      <c r="AO107" s="43"/>
      <c r="AP107" s="43"/>
      <c r="AQ107" s="43"/>
      <c r="AR107" s="26"/>
      <c r="AS107" s="26"/>
      <c r="AT107" s="43"/>
      <c r="AU107" s="43"/>
      <c r="AV107" s="43"/>
      <c r="AW107" s="43"/>
      <c r="AX107" s="43"/>
      <c r="BE107" s="173"/>
      <c r="BF107" s="43"/>
      <c r="BG107" s="43"/>
      <c r="BM107" s="43"/>
      <c r="BO107" s="43"/>
      <c r="BV107" s="206"/>
      <c r="BW107" s="217"/>
      <c r="BX107" s="88"/>
      <c r="BY107" s="88"/>
      <c r="BZ107" s="88"/>
      <c r="CA107" s="88"/>
      <c r="CB107" s="99"/>
      <c r="CC107" s="99"/>
      <c r="CD107" s="99"/>
      <c r="CE107" s="99"/>
      <c r="CF107" s="99"/>
      <c r="CG107" s="99"/>
      <c r="CH107" s="99"/>
      <c r="CI107" s="99"/>
      <c r="CJ107" s="99"/>
      <c r="CK107" s="99"/>
      <c r="CL107" s="99"/>
      <c r="CM107" s="88"/>
      <c r="CN107" s="88"/>
      <c r="CO107" s="173"/>
      <c r="DG107" s="80"/>
      <c r="DQ107" s="86"/>
      <c r="DZ107" s="88"/>
      <c r="EQ107" s="251"/>
    </row>
    <row r="108" spans="1:147" s="3" customFormat="1" ht="12">
      <c r="A108" s="103"/>
      <c r="B108" s="103"/>
      <c r="C108" s="176"/>
      <c r="E108" s="43"/>
      <c r="G108" s="43"/>
      <c r="R108" s="43"/>
      <c r="T108" s="43"/>
      <c r="U108" s="176"/>
      <c r="V108" s="98"/>
      <c r="W108" s="98"/>
      <c r="X108" s="98"/>
      <c r="Y108" s="98"/>
      <c r="AM108" s="176"/>
      <c r="AN108" s="43"/>
      <c r="AO108" s="43"/>
      <c r="AP108" s="43"/>
      <c r="AQ108" s="43"/>
      <c r="AR108" s="26"/>
      <c r="AS108" s="26"/>
      <c r="AT108" s="43"/>
      <c r="AU108" s="43"/>
      <c r="AV108" s="43"/>
      <c r="AW108" s="43"/>
      <c r="AX108" s="43"/>
      <c r="BE108" s="173"/>
      <c r="BG108" s="43"/>
      <c r="BT108" s="88"/>
      <c r="BV108" s="188"/>
      <c r="BW108" s="216"/>
      <c r="BX108" s="88"/>
      <c r="BY108" s="88"/>
      <c r="BZ108" s="88"/>
      <c r="CA108" s="88"/>
      <c r="CB108" s="99"/>
      <c r="CC108" s="99"/>
      <c r="CD108" s="99"/>
      <c r="CE108" s="99"/>
      <c r="CF108" s="99"/>
      <c r="CG108" s="99"/>
      <c r="CH108" s="99"/>
      <c r="CI108" s="99"/>
      <c r="CJ108" s="99"/>
      <c r="CK108" s="99"/>
      <c r="CL108" s="99"/>
      <c r="CM108" s="88"/>
      <c r="CN108" s="88"/>
      <c r="CO108" s="173"/>
      <c r="DG108" s="80"/>
      <c r="DQ108" s="86"/>
      <c r="DZ108" s="88"/>
      <c r="EQ108" s="251"/>
    </row>
    <row r="109" spans="1:147" s="3" customFormat="1" ht="12">
      <c r="A109" s="104"/>
      <c r="B109" s="104"/>
      <c r="C109" s="176"/>
      <c r="E109" s="43"/>
      <c r="F109" s="43"/>
      <c r="G109" s="43"/>
      <c r="T109" s="43"/>
      <c r="U109" s="176"/>
      <c r="V109" s="98"/>
      <c r="W109" s="98"/>
      <c r="X109" s="98"/>
      <c r="Y109" s="98"/>
      <c r="AA109" s="43"/>
      <c r="AB109" s="43"/>
      <c r="AM109" s="176"/>
      <c r="AN109" s="43"/>
      <c r="AO109" s="43"/>
      <c r="AP109" s="43"/>
      <c r="AQ109" s="43"/>
      <c r="AR109" s="26"/>
      <c r="AS109" s="26"/>
      <c r="AT109" s="43"/>
      <c r="AU109" s="101"/>
      <c r="AV109" s="101"/>
      <c r="AW109" s="101"/>
      <c r="AX109" s="101"/>
      <c r="BE109" s="173"/>
      <c r="BG109" s="43"/>
      <c r="BO109" s="43"/>
      <c r="BV109" s="206"/>
      <c r="BW109" s="217"/>
      <c r="BX109" s="88"/>
      <c r="BY109" s="88"/>
      <c r="BZ109" s="88"/>
      <c r="CA109" s="88"/>
      <c r="CB109" s="99"/>
      <c r="CC109" s="99"/>
      <c r="CD109" s="99"/>
      <c r="CE109" s="99"/>
      <c r="CF109" s="99"/>
      <c r="CG109" s="99"/>
      <c r="CH109" s="99"/>
      <c r="CI109" s="99"/>
      <c r="CJ109" s="99"/>
      <c r="CK109" s="99"/>
      <c r="CL109" s="99"/>
      <c r="CM109" s="88"/>
      <c r="CN109" s="88"/>
      <c r="CO109" s="173"/>
      <c r="DG109" s="80"/>
      <c r="DQ109" s="86"/>
      <c r="DZ109" s="88"/>
      <c r="EQ109" s="251"/>
    </row>
    <row r="110" spans="1:147" s="3" customFormat="1" ht="12">
      <c r="A110" s="104"/>
      <c r="B110" s="104"/>
      <c r="C110" s="176"/>
      <c r="E110" s="43"/>
      <c r="G110" s="43"/>
      <c r="R110" s="43"/>
      <c r="T110" s="43"/>
      <c r="U110" s="176"/>
      <c r="V110" s="98"/>
      <c r="W110" s="98"/>
      <c r="X110" s="98"/>
      <c r="Y110" s="98"/>
      <c r="AM110" s="176"/>
      <c r="AN110" s="43"/>
      <c r="AO110" s="79"/>
      <c r="AP110" s="43"/>
      <c r="AQ110" s="43"/>
      <c r="AR110" s="26"/>
      <c r="AS110" s="26"/>
      <c r="AT110" s="43"/>
      <c r="AU110" s="101"/>
      <c r="AV110" s="101"/>
      <c r="AW110" s="101"/>
      <c r="AX110" s="101"/>
      <c r="BE110" s="173"/>
      <c r="BG110" s="43"/>
      <c r="BV110" s="188"/>
      <c r="BW110" s="216"/>
      <c r="BX110" s="88"/>
      <c r="BY110" s="88"/>
      <c r="BZ110" s="88"/>
      <c r="CA110" s="88"/>
      <c r="CB110" s="99"/>
      <c r="CC110" s="99"/>
      <c r="CD110" s="99"/>
      <c r="CE110" s="99"/>
      <c r="CF110" s="99"/>
      <c r="CG110" s="99"/>
      <c r="CH110" s="99"/>
      <c r="CI110" s="99"/>
      <c r="CJ110" s="99"/>
      <c r="CK110" s="99"/>
      <c r="CL110" s="99"/>
      <c r="CM110" s="88"/>
      <c r="CN110" s="88"/>
      <c r="CO110" s="173"/>
      <c r="DG110" s="80"/>
      <c r="DQ110" s="86"/>
      <c r="DZ110" s="88"/>
      <c r="EQ110" s="251"/>
    </row>
    <row r="111" spans="1:147" s="3" customFormat="1" ht="12">
      <c r="A111" s="104"/>
      <c r="B111" s="104"/>
      <c r="C111" s="176"/>
      <c r="E111" s="43"/>
      <c r="G111" s="43"/>
      <c r="R111" s="43"/>
      <c r="T111" s="43"/>
      <c r="U111" s="176"/>
      <c r="V111" s="98"/>
      <c r="W111" s="98"/>
      <c r="X111" s="98"/>
      <c r="Y111" s="98"/>
      <c r="AD111" s="43"/>
      <c r="AE111" s="43"/>
      <c r="AG111" s="43"/>
      <c r="AM111" s="176"/>
      <c r="AN111" s="43"/>
      <c r="AO111" s="43"/>
      <c r="AP111" s="43"/>
      <c r="AQ111" s="43"/>
      <c r="AR111" s="26"/>
      <c r="AS111" s="26"/>
      <c r="AT111" s="43"/>
      <c r="AU111" s="43"/>
      <c r="AV111" s="43"/>
      <c r="AW111" s="43"/>
      <c r="AX111" s="43"/>
      <c r="BE111" s="173"/>
      <c r="BG111" s="43"/>
      <c r="BR111" s="43"/>
      <c r="BV111" s="188"/>
      <c r="BW111" s="216"/>
      <c r="BX111" s="88"/>
      <c r="BY111" s="88"/>
      <c r="BZ111" s="88"/>
      <c r="CA111" s="88"/>
      <c r="CB111" s="99"/>
      <c r="CC111" s="99"/>
      <c r="CD111" s="99"/>
      <c r="CE111" s="99"/>
      <c r="CF111" s="99"/>
      <c r="CG111" s="99"/>
      <c r="CH111" s="99"/>
      <c r="CI111" s="99"/>
      <c r="CJ111" s="99"/>
      <c r="CK111" s="99"/>
      <c r="CL111" s="99"/>
      <c r="CM111" s="88"/>
      <c r="CN111" s="88"/>
      <c r="CO111" s="173"/>
      <c r="DG111" s="80"/>
      <c r="DQ111" s="86"/>
      <c r="DZ111" s="88"/>
      <c r="EQ111" s="251"/>
    </row>
    <row r="112" spans="1:147" s="3" customFormat="1" ht="12">
      <c r="A112" s="103"/>
      <c r="B112" s="103"/>
      <c r="C112" s="173"/>
      <c r="E112" s="43"/>
      <c r="G112" s="43"/>
      <c r="R112" s="43"/>
      <c r="T112" s="43"/>
      <c r="U112" s="176"/>
      <c r="V112" s="98"/>
      <c r="W112" s="98"/>
      <c r="X112" s="98"/>
      <c r="Y112" s="98"/>
      <c r="AD112" s="43"/>
      <c r="AE112" s="43"/>
      <c r="AM112" s="172"/>
      <c r="AN112" s="79"/>
      <c r="AO112" s="43"/>
      <c r="AP112" s="43"/>
      <c r="AQ112" s="43"/>
      <c r="AR112" s="26"/>
      <c r="AS112" s="26"/>
      <c r="AT112" s="43"/>
      <c r="AU112" s="43"/>
      <c r="AV112" s="43"/>
      <c r="AW112" s="43"/>
      <c r="AX112" s="43"/>
      <c r="AY112" s="86"/>
      <c r="AZ112" s="86"/>
      <c r="BE112" s="173"/>
      <c r="BG112" s="43"/>
      <c r="BV112" s="188"/>
      <c r="BW112" s="216"/>
      <c r="BX112" s="88"/>
      <c r="BY112" s="88"/>
      <c r="BZ112" s="88"/>
      <c r="CA112" s="88"/>
      <c r="CB112" s="99"/>
      <c r="CC112" s="99"/>
      <c r="CD112" s="99"/>
      <c r="CE112" s="99"/>
      <c r="CF112" s="99"/>
      <c r="CG112" s="99"/>
      <c r="CH112" s="99"/>
      <c r="CI112" s="99"/>
      <c r="CJ112" s="99"/>
      <c r="CK112" s="99"/>
      <c r="CL112" s="99"/>
      <c r="CM112" s="88"/>
      <c r="CN112" s="88"/>
      <c r="CO112" s="173"/>
      <c r="DG112" s="80"/>
      <c r="DQ112" s="86"/>
      <c r="DZ112" s="88"/>
      <c r="EQ112" s="251"/>
    </row>
    <row r="113" spans="1:147" s="3" customFormat="1" ht="12">
      <c r="A113" s="103"/>
      <c r="B113" s="103"/>
      <c r="C113" s="176"/>
      <c r="E113" s="43"/>
      <c r="G113" s="43"/>
      <c r="I113" s="43"/>
      <c r="J113" s="43"/>
      <c r="R113" s="43"/>
      <c r="T113" s="43"/>
      <c r="U113" s="176"/>
      <c r="V113" s="98"/>
      <c r="W113" s="98"/>
      <c r="X113" s="98"/>
      <c r="Y113" s="98"/>
      <c r="Z113" s="86"/>
      <c r="AA113" s="86"/>
      <c r="AB113" s="86"/>
      <c r="AC113" s="101"/>
      <c r="AD113" s="43"/>
      <c r="AE113" s="43"/>
      <c r="AG113" s="86"/>
      <c r="AH113" s="86"/>
      <c r="AI113" s="86"/>
      <c r="AJ113" s="86"/>
      <c r="AM113" s="176"/>
      <c r="AN113" s="43"/>
      <c r="AO113" s="43"/>
      <c r="AP113" s="43"/>
      <c r="AQ113" s="43"/>
      <c r="AR113" s="26"/>
      <c r="AS113" s="26"/>
      <c r="AT113" s="43"/>
      <c r="AU113" s="43"/>
      <c r="AV113" s="43"/>
      <c r="AW113" s="43"/>
      <c r="AX113" s="43"/>
      <c r="AY113" s="43"/>
      <c r="AZ113" s="43"/>
      <c r="BA113" s="43"/>
      <c r="BE113" s="173"/>
      <c r="BG113" s="43"/>
      <c r="BP113" s="43"/>
      <c r="BV113" s="188"/>
      <c r="BW113" s="216"/>
      <c r="BX113" s="88"/>
      <c r="BY113" s="88"/>
      <c r="BZ113" s="88"/>
      <c r="CA113" s="88"/>
      <c r="CB113" s="99"/>
      <c r="CC113" s="99"/>
      <c r="CD113" s="99"/>
      <c r="CE113" s="99"/>
      <c r="CF113" s="99"/>
      <c r="CG113" s="99"/>
      <c r="CH113" s="99"/>
      <c r="CI113" s="99"/>
      <c r="CJ113" s="99"/>
      <c r="CK113" s="99"/>
      <c r="CL113" s="99"/>
      <c r="CM113" s="88"/>
      <c r="CN113" s="88"/>
      <c r="CO113" s="173"/>
      <c r="DG113" s="80"/>
      <c r="DQ113" s="86"/>
      <c r="DZ113" s="88"/>
      <c r="EQ113" s="251"/>
    </row>
    <row r="114" spans="1:147" s="3" customFormat="1" ht="12">
      <c r="A114" s="103"/>
      <c r="B114" s="103"/>
      <c r="C114" s="176"/>
      <c r="E114" s="43"/>
      <c r="G114" s="43"/>
      <c r="R114" s="43"/>
      <c r="T114" s="43"/>
      <c r="U114" s="176"/>
      <c r="V114" s="98"/>
      <c r="W114" s="98"/>
      <c r="X114" s="98"/>
      <c r="Y114" s="98"/>
      <c r="Z114" s="86"/>
      <c r="AA114" s="86"/>
      <c r="AB114" s="86"/>
      <c r="AC114" s="86"/>
      <c r="AF114" s="86"/>
      <c r="AG114" s="86"/>
      <c r="AH114" s="86"/>
      <c r="AI114" s="86"/>
      <c r="AJ114" s="86"/>
      <c r="AM114" s="176"/>
      <c r="AN114" s="43"/>
      <c r="AO114" s="43"/>
      <c r="AP114" s="43"/>
      <c r="AQ114" s="43"/>
      <c r="AR114" s="26"/>
      <c r="AS114" s="26"/>
      <c r="AT114" s="43"/>
      <c r="AU114" s="43"/>
      <c r="AV114" s="43"/>
      <c r="AW114" s="43"/>
      <c r="AX114" s="43"/>
      <c r="AY114" s="26"/>
      <c r="AZ114" s="26"/>
      <c r="BA114" s="43"/>
      <c r="BE114" s="173"/>
      <c r="BG114" s="43"/>
      <c r="BO114" s="43"/>
      <c r="BP114" s="43"/>
      <c r="BT114" s="43"/>
      <c r="BV114" s="188"/>
      <c r="BW114" s="216"/>
      <c r="BX114" s="88"/>
      <c r="BY114" s="88"/>
      <c r="BZ114" s="88"/>
      <c r="CA114" s="88"/>
      <c r="CB114" s="99"/>
      <c r="CC114" s="99"/>
      <c r="CD114" s="99"/>
      <c r="CE114" s="99"/>
      <c r="CF114" s="99"/>
      <c r="CG114" s="99"/>
      <c r="CH114" s="99"/>
      <c r="CI114" s="99"/>
      <c r="CJ114" s="99"/>
      <c r="CK114" s="99"/>
      <c r="CL114" s="99"/>
      <c r="CM114" s="88"/>
      <c r="CN114" s="88"/>
      <c r="CO114" s="173"/>
      <c r="DG114" s="80"/>
      <c r="DQ114" s="86"/>
      <c r="DZ114" s="88"/>
      <c r="EQ114" s="251"/>
    </row>
    <row r="115" spans="1:147" s="3" customFormat="1" ht="12">
      <c r="A115" s="103"/>
      <c r="B115" s="103"/>
      <c r="C115" s="182"/>
      <c r="D115" s="86"/>
      <c r="E115" s="101"/>
      <c r="F115" s="86"/>
      <c r="G115" s="101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101"/>
      <c r="S115" s="86"/>
      <c r="T115" s="43"/>
      <c r="U115" s="176"/>
      <c r="V115" s="98"/>
      <c r="W115" s="98"/>
      <c r="X115" s="98"/>
      <c r="Y115" s="98"/>
      <c r="AA115" s="43"/>
      <c r="AB115" s="43"/>
      <c r="AD115" s="43"/>
      <c r="AF115" s="43"/>
      <c r="AM115" s="176"/>
      <c r="AN115" s="43"/>
      <c r="AO115" s="43"/>
      <c r="AP115" s="43"/>
      <c r="AQ115" s="43"/>
      <c r="AR115" s="26"/>
      <c r="AS115" s="26"/>
      <c r="AT115" s="43"/>
      <c r="AU115" s="101"/>
      <c r="AV115" s="101"/>
      <c r="AW115" s="101"/>
      <c r="AX115" s="101"/>
      <c r="AY115" s="26"/>
      <c r="AZ115" s="26"/>
      <c r="BA115" s="43"/>
      <c r="BE115" s="173"/>
      <c r="BG115" s="43"/>
      <c r="BV115" s="188"/>
      <c r="BW115" s="216"/>
      <c r="BX115" s="88"/>
      <c r="BY115" s="88"/>
      <c r="BZ115" s="88"/>
      <c r="CA115" s="88"/>
      <c r="CB115" s="99"/>
      <c r="CC115" s="99"/>
      <c r="CD115" s="99"/>
      <c r="CE115" s="99"/>
      <c r="CF115" s="99"/>
      <c r="CG115" s="99"/>
      <c r="CH115" s="99"/>
      <c r="CI115" s="99"/>
      <c r="CJ115" s="99"/>
      <c r="CK115" s="99"/>
      <c r="CL115" s="99"/>
      <c r="CM115" s="88"/>
      <c r="CN115" s="88"/>
      <c r="CO115" s="173"/>
      <c r="DG115" s="80"/>
      <c r="DQ115" s="86"/>
      <c r="DZ115" s="88"/>
      <c r="EQ115" s="251"/>
    </row>
    <row r="116" spans="1:147" s="3" customFormat="1" ht="12">
      <c r="A116" s="103"/>
      <c r="B116" s="103"/>
      <c r="C116" s="182"/>
      <c r="D116" s="86"/>
      <c r="E116" s="101"/>
      <c r="F116" s="86"/>
      <c r="G116" s="101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101"/>
      <c r="S116" s="86"/>
      <c r="T116" s="43"/>
      <c r="U116" s="176"/>
      <c r="V116" s="98"/>
      <c r="W116" s="98"/>
      <c r="X116" s="98"/>
      <c r="Y116" s="98"/>
      <c r="AM116" s="176"/>
      <c r="AN116" s="43"/>
      <c r="AO116" s="43"/>
      <c r="AP116" s="43"/>
      <c r="AQ116" s="43"/>
      <c r="AR116" s="26"/>
      <c r="AS116" s="26"/>
      <c r="AT116" s="43"/>
      <c r="AU116" s="43"/>
      <c r="AV116" s="43"/>
      <c r="AW116" s="43"/>
      <c r="AX116" s="43"/>
      <c r="AY116" s="43"/>
      <c r="AZ116" s="43"/>
      <c r="BA116" s="43"/>
      <c r="BE116" s="173"/>
      <c r="BG116" s="43"/>
      <c r="BQ116" s="88"/>
      <c r="BT116" s="88"/>
      <c r="BV116" s="188"/>
      <c r="BW116" s="216"/>
      <c r="BX116" s="88"/>
      <c r="BY116" s="88"/>
      <c r="BZ116" s="88"/>
      <c r="CA116" s="88"/>
      <c r="CB116" s="99"/>
      <c r="CC116" s="99"/>
      <c r="CD116" s="99"/>
      <c r="CE116" s="99"/>
      <c r="CF116" s="99"/>
      <c r="CG116" s="99"/>
      <c r="CH116" s="99"/>
      <c r="CI116" s="99"/>
      <c r="CJ116" s="99"/>
      <c r="CK116" s="99"/>
      <c r="CL116" s="99"/>
      <c r="CM116" s="88"/>
      <c r="CN116" s="88"/>
      <c r="CO116" s="173"/>
      <c r="DG116" s="80"/>
      <c r="DQ116" s="86"/>
      <c r="DZ116" s="88"/>
      <c r="EQ116" s="251"/>
    </row>
    <row r="117" spans="1:147" s="3" customFormat="1" ht="12">
      <c r="A117" s="103"/>
      <c r="B117" s="103"/>
      <c r="C117" s="176"/>
      <c r="E117" s="43"/>
      <c r="G117" s="43"/>
      <c r="R117" s="43"/>
      <c r="T117" s="43"/>
      <c r="U117" s="176"/>
      <c r="V117" s="98"/>
      <c r="W117" s="98"/>
      <c r="X117" s="98"/>
      <c r="Y117" s="98"/>
      <c r="AA117" s="43"/>
      <c r="AC117" s="43"/>
      <c r="AD117" s="43"/>
      <c r="AM117" s="176"/>
      <c r="AN117" s="43"/>
      <c r="AO117" s="43"/>
      <c r="AP117" s="43"/>
      <c r="AQ117" s="43"/>
      <c r="AR117" s="26"/>
      <c r="AS117" s="26"/>
      <c r="AT117" s="43"/>
      <c r="AU117" s="43"/>
      <c r="AV117" s="43"/>
      <c r="AW117" s="43"/>
      <c r="AX117" s="43"/>
      <c r="AY117" s="26"/>
      <c r="AZ117" s="26"/>
      <c r="BA117" s="43"/>
      <c r="BE117" s="173"/>
      <c r="BG117" s="43"/>
      <c r="BS117" s="43"/>
      <c r="BT117" s="43"/>
      <c r="BU117" s="43"/>
      <c r="BV117" s="188"/>
      <c r="BW117" s="216"/>
      <c r="BX117" s="88"/>
      <c r="BY117" s="88"/>
      <c r="BZ117" s="88"/>
      <c r="CA117" s="88"/>
      <c r="CB117" s="99"/>
      <c r="CC117" s="99"/>
      <c r="CD117" s="99"/>
      <c r="CE117" s="99"/>
      <c r="CF117" s="99"/>
      <c r="CG117" s="99"/>
      <c r="CH117" s="99"/>
      <c r="CI117" s="99"/>
      <c r="CJ117" s="99"/>
      <c r="CK117" s="99"/>
      <c r="CL117" s="99"/>
      <c r="CM117" s="88"/>
      <c r="CN117" s="88"/>
      <c r="CO117" s="173"/>
      <c r="DG117" s="80"/>
      <c r="DQ117" s="86"/>
      <c r="DZ117" s="88"/>
      <c r="EQ117" s="251"/>
    </row>
    <row r="118" spans="1:147" s="3" customFormat="1" ht="12">
      <c r="A118" s="103"/>
      <c r="B118" s="103"/>
      <c r="C118" s="176"/>
      <c r="E118" s="43"/>
      <c r="G118" s="43"/>
      <c r="R118" s="43"/>
      <c r="T118" s="43"/>
      <c r="U118" s="176"/>
      <c r="V118" s="98"/>
      <c r="W118" s="98"/>
      <c r="X118" s="98"/>
      <c r="Y118" s="98"/>
      <c r="AM118" s="176"/>
      <c r="AN118" s="43"/>
      <c r="AO118" s="43"/>
      <c r="AP118" s="43"/>
      <c r="AQ118" s="43"/>
      <c r="AR118" s="26"/>
      <c r="AS118" s="26"/>
      <c r="AT118" s="43"/>
      <c r="AU118" s="43"/>
      <c r="AV118" s="43"/>
      <c r="AW118" s="43"/>
      <c r="AX118" s="43"/>
      <c r="AY118" s="26"/>
      <c r="AZ118" s="26"/>
      <c r="BA118" s="43"/>
      <c r="BE118" s="173"/>
      <c r="BG118" s="43"/>
      <c r="BO118" s="88"/>
      <c r="BT118" s="43"/>
      <c r="BV118" s="188"/>
      <c r="BW118" s="216"/>
      <c r="BX118" s="88"/>
      <c r="BY118" s="88"/>
      <c r="BZ118" s="88"/>
      <c r="CA118" s="88"/>
      <c r="CB118" s="99"/>
      <c r="CC118" s="99"/>
      <c r="CD118" s="99"/>
      <c r="CE118" s="99"/>
      <c r="CF118" s="99"/>
      <c r="CG118" s="99"/>
      <c r="CH118" s="99"/>
      <c r="CI118" s="99"/>
      <c r="CJ118" s="99"/>
      <c r="CK118" s="99"/>
      <c r="CL118" s="99"/>
      <c r="CM118" s="88"/>
      <c r="CN118" s="88"/>
      <c r="CO118" s="173"/>
      <c r="DG118" s="80"/>
      <c r="DQ118" s="86"/>
      <c r="DZ118" s="88"/>
      <c r="EQ118" s="251"/>
    </row>
    <row r="119" spans="1:147" s="3" customFormat="1" ht="12">
      <c r="A119" s="103"/>
      <c r="B119" s="103"/>
      <c r="C119" s="176"/>
      <c r="E119" s="43"/>
      <c r="G119" s="43"/>
      <c r="R119" s="43"/>
      <c r="T119" s="43"/>
      <c r="U119" s="176"/>
      <c r="V119" s="98"/>
      <c r="W119" s="98"/>
      <c r="X119" s="98"/>
      <c r="Y119" s="98"/>
      <c r="Z119" s="86"/>
      <c r="AA119" s="86"/>
      <c r="AB119" s="86"/>
      <c r="AC119" s="86"/>
      <c r="AE119" s="43"/>
      <c r="AG119" s="86"/>
      <c r="AH119" s="86"/>
      <c r="AI119" s="86"/>
      <c r="AJ119" s="86"/>
      <c r="AM119" s="176"/>
      <c r="AN119" s="43"/>
      <c r="AO119" s="43"/>
      <c r="AP119" s="43"/>
      <c r="AQ119" s="43"/>
      <c r="AR119" s="26"/>
      <c r="AS119" s="26"/>
      <c r="AT119" s="43"/>
      <c r="AU119" s="43"/>
      <c r="AV119" s="43"/>
      <c r="AW119" s="43"/>
      <c r="AX119" s="43"/>
      <c r="AY119" s="26"/>
      <c r="AZ119" s="26"/>
      <c r="BA119" s="43"/>
      <c r="BE119" s="173"/>
      <c r="BG119" s="43"/>
      <c r="BO119" s="43"/>
      <c r="BT119" s="43"/>
      <c r="BV119" s="188"/>
      <c r="BW119" s="216"/>
      <c r="BX119" s="88"/>
      <c r="BY119" s="88"/>
      <c r="BZ119" s="88"/>
      <c r="CA119" s="88"/>
      <c r="CB119" s="99"/>
      <c r="CC119" s="99"/>
      <c r="CD119" s="99"/>
      <c r="CE119" s="99"/>
      <c r="CF119" s="99"/>
      <c r="CG119" s="99"/>
      <c r="CH119" s="99"/>
      <c r="CI119" s="99"/>
      <c r="CJ119" s="99"/>
      <c r="CK119" s="99"/>
      <c r="CL119" s="99"/>
      <c r="CM119" s="88"/>
      <c r="CN119" s="88"/>
      <c r="CO119" s="173"/>
      <c r="DG119" s="80"/>
      <c r="DQ119" s="86"/>
      <c r="DZ119" s="88"/>
      <c r="EQ119" s="251"/>
    </row>
    <row r="120" spans="1:147" s="3" customFormat="1" ht="12">
      <c r="A120" s="103"/>
      <c r="B120" s="103"/>
      <c r="C120" s="176"/>
      <c r="E120" s="43"/>
      <c r="G120" s="43"/>
      <c r="R120" s="43"/>
      <c r="T120" s="43"/>
      <c r="U120" s="176"/>
      <c r="V120" s="98"/>
      <c r="W120" s="98"/>
      <c r="X120" s="98"/>
      <c r="Y120" s="98"/>
      <c r="AM120" s="176"/>
      <c r="AN120" s="43"/>
      <c r="AO120" s="43"/>
      <c r="AP120" s="43"/>
      <c r="AQ120" s="43"/>
      <c r="AR120" s="26"/>
      <c r="AS120" s="26"/>
      <c r="AT120" s="43"/>
      <c r="AU120" s="43"/>
      <c r="AV120" s="43"/>
      <c r="AW120" s="43"/>
      <c r="AX120" s="43"/>
      <c r="AY120" s="43"/>
      <c r="AZ120" s="43"/>
      <c r="BA120" s="43"/>
      <c r="BE120" s="173"/>
      <c r="BG120" s="43"/>
      <c r="BT120" s="43"/>
      <c r="BV120" s="188"/>
      <c r="BW120" s="216"/>
      <c r="BX120" s="88"/>
      <c r="BY120" s="88"/>
      <c r="BZ120" s="88"/>
      <c r="CA120" s="88"/>
      <c r="CB120" s="99"/>
      <c r="CC120" s="99"/>
      <c r="CD120" s="99"/>
      <c r="CE120" s="99"/>
      <c r="CF120" s="99"/>
      <c r="CG120" s="99"/>
      <c r="CH120" s="99"/>
      <c r="CI120" s="99"/>
      <c r="CJ120" s="99"/>
      <c r="CK120" s="99"/>
      <c r="CL120" s="99"/>
      <c r="CM120" s="88"/>
      <c r="CN120" s="88"/>
      <c r="CO120" s="173"/>
      <c r="DG120" s="80"/>
      <c r="DQ120" s="86"/>
      <c r="DZ120" s="88"/>
      <c r="EQ120" s="251"/>
    </row>
    <row r="121" spans="1:147" s="3" customFormat="1" ht="12">
      <c r="A121" s="103"/>
      <c r="B121" s="103"/>
      <c r="C121" s="182"/>
      <c r="D121" s="86"/>
      <c r="E121" s="101"/>
      <c r="F121" s="86"/>
      <c r="G121" s="101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101"/>
      <c r="S121" s="86"/>
      <c r="T121" s="43"/>
      <c r="U121" s="176"/>
      <c r="V121" s="98"/>
      <c r="W121" s="98"/>
      <c r="X121" s="98"/>
      <c r="Y121" s="98"/>
      <c r="AD121" s="43"/>
      <c r="AM121" s="176"/>
      <c r="AN121" s="43"/>
      <c r="AO121" s="43"/>
      <c r="AP121" s="43"/>
      <c r="AQ121" s="43"/>
      <c r="AR121" s="26"/>
      <c r="AS121" s="26"/>
      <c r="AT121" s="43"/>
      <c r="AU121" s="43"/>
      <c r="AV121" s="43"/>
      <c r="AW121" s="43"/>
      <c r="AX121" s="43"/>
      <c r="AY121" s="26"/>
      <c r="AZ121" s="26"/>
      <c r="BA121" s="43"/>
      <c r="BE121" s="173"/>
      <c r="BG121" s="43"/>
      <c r="BT121" s="43"/>
      <c r="BV121" s="188"/>
      <c r="BW121" s="216"/>
      <c r="BX121" s="88"/>
      <c r="BY121" s="88"/>
      <c r="BZ121" s="88"/>
      <c r="CA121" s="88"/>
      <c r="CB121" s="99"/>
      <c r="CC121" s="99"/>
      <c r="CD121" s="99"/>
      <c r="CE121" s="99"/>
      <c r="CF121" s="99"/>
      <c r="CG121" s="99"/>
      <c r="CH121" s="99"/>
      <c r="CI121" s="99"/>
      <c r="CJ121" s="99"/>
      <c r="CK121" s="99"/>
      <c r="CL121" s="99"/>
      <c r="CM121" s="88"/>
      <c r="CN121" s="88"/>
      <c r="CO121" s="173"/>
      <c r="DG121" s="80"/>
      <c r="DQ121" s="86"/>
      <c r="DZ121" s="88"/>
      <c r="EQ121" s="251"/>
    </row>
    <row r="122" spans="1:147" s="3" customFormat="1" ht="12">
      <c r="A122" s="103"/>
      <c r="B122" s="103"/>
      <c r="C122" s="176"/>
      <c r="E122" s="43"/>
      <c r="G122" s="43"/>
      <c r="R122" s="43"/>
      <c r="T122" s="43"/>
      <c r="U122" s="176"/>
      <c r="V122" s="98"/>
      <c r="W122" s="98"/>
      <c r="X122" s="98"/>
      <c r="Y122" s="98"/>
      <c r="AM122" s="176"/>
      <c r="AN122" s="43"/>
      <c r="AO122" s="43"/>
      <c r="AP122" s="43"/>
      <c r="AQ122" s="43"/>
      <c r="AR122" s="26"/>
      <c r="AS122" s="26"/>
      <c r="AT122" s="43"/>
      <c r="AU122" s="43"/>
      <c r="AV122" s="43"/>
      <c r="AW122" s="43"/>
      <c r="AX122" s="43"/>
      <c r="AY122" s="26"/>
      <c r="AZ122" s="26"/>
      <c r="BA122" s="43"/>
      <c r="BE122" s="173"/>
      <c r="BG122" s="43"/>
      <c r="BT122" s="43"/>
      <c r="BV122" s="188"/>
      <c r="BW122" s="216"/>
      <c r="BX122" s="88"/>
      <c r="BY122" s="88"/>
      <c r="BZ122" s="88"/>
      <c r="CA122" s="88"/>
      <c r="CB122" s="99"/>
      <c r="CC122" s="99"/>
      <c r="CD122" s="99"/>
      <c r="CE122" s="99"/>
      <c r="CF122" s="99"/>
      <c r="CG122" s="99"/>
      <c r="CH122" s="99"/>
      <c r="CI122" s="99"/>
      <c r="CJ122" s="99"/>
      <c r="CK122" s="99"/>
      <c r="CL122" s="99"/>
      <c r="CM122" s="88"/>
      <c r="CN122" s="88"/>
      <c r="CO122" s="173"/>
      <c r="DG122" s="80"/>
      <c r="DQ122" s="86"/>
      <c r="DZ122" s="88"/>
      <c r="EQ122" s="251"/>
    </row>
    <row r="123" spans="1:147" s="3" customFormat="1" ht="12">
      <c r="A123" s="103"/>
      <c r="B123" s="103"/>
      <c r="C123" s="176"/>
      <c r="E123" s="43"/>
      <c r="G123" s="43"/>
      <c r="R123" s="43"/>
      <c r="T123" s="43"/>
      <c r="U123" s="176"/>
      <c r="V123" s="98"/>
      <c r="W123" s="98"/>
      <c r="X123" s="98"/>
      <c r="Y123" s="98"/>
      <c r="AC123" s="43"/>
      <c r="AF123" s="43"/>
      <c r="AM123" s="176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26"/>
      <c r="AZ123" s="26"/>
      <c r="BA123" s="43"/>
      <c r="BE123" s="173"/>
      <c r="BG123" s="43"/>
      <c r="BM123" s="43"/>
      <c r="BO123" s="43"/>
      <c r="BP123" s="43"/>
      <c r="BR123" s="43"/>
      <c r="BT123" s="43"/>
      <c r="BV123" s="188"/>
      <c r="BW123" s="216"/>
      <c r="BX123" s="88"/>
      <c r="BY123" s="88"/>
      <c r="BZ123" s="88"/>
      <c r="CA123" s="88"/>
      <c r="CB123" s="99"/>
      <c r="CC123" s="99"/>
      <c r="CD123" s="99"/>
      <c r="CE123" s="99"/>
      <c r="CF123" s="99"/>
      <c r="CG123" s="99"/>
      <c r="CH123" s="99"/>
      <c r="CI123" s="99"/>
      <c r="CJ123" s="99"/>
      <c r="CK123" s="99"/>
      <c r="CL123" s="99"/>
      <c r="CM123" s="88"/>
      <c r="CN123" s="88"/>
      <c r="CO123" s="173"/>
      <c r="DG123" s="80"/>
      <c r="DQ123" s="86"/>
      <c r="DZ123" s="88"/>
      <c r="EQ123" s="251"/>
    </row>
    <row r="124" spans="1:147" s="3" customFormat="1" ht="12">
      <c r="A124" s="103"/>
      <c r="B124" s="103"/>
      <c r="C124" s="176"/>
      <c r="E124" s="43"/>
      <c r="G124" s="43"/>
      <c r="R124" s="43"/>
      <c r="T124" s="43"/>
      <c r="U124" s="176"/>
      <c r="V124" s="98"/>
      <c r="W124" s="98"/>
      <c r="X124" s="98"/>
      <c r="Y124" s="98"/>
      <c r="AF124" s="43"/>
      <c r="AM124" s="176"/>
      <c r="AN124" s="43"/>
      <c r="AO124" s="43"/>
      <c r="AP124" s="43"/>
      <c r="AQ124" s="79"/>
      <c r="AR124" s="29"/>
      <c r="AS124" s="29"/>
      <c r="AT124" s="43"/>
      <c r="AU124" s="43"/>
      <c r="AV124" s="43"/>
      <c r="AW124" s="43"/>
      <c r="AX124" s="43"/>
      <c r="AY124" s="26"/>
      <c r="AZ124" s="26"/>
      <c r="BA124" s="43"/>
      <c r="BE124" s="173"/>
      <c r="BG124" s="43"/>
      <c r="BQ124" s="88"/>
      <c r="BR124" s="88"/>
      <c r="BS124" s="88"/>
      <c r="BT124" s="43"/>
      <c r="BU124" s="88"/>
      <c r="BV124" s="188"/>
      <c r="BW124" s="216"/>
      <c r="BX124" s="88"/>
      <c r="BY124" s="88"/>
      <c r="BZ124" s="88"/>
      <c r="CA124" s="88"/>
      <c r="CB124" s="99"/>
      <c r="CC124" s="99"/>
      <c r="CD124" s="99"/>
      <c r="CE124" s="99"/>
      <c r="CF124" s="99"/>
      <c r="CG124" s="99"/>
      <c r="CH124" s="99"/>
      <c r="CI124" s="99"/>
      <c r="CJ124" s="99"/>
      <c r="CK124" s="99"/>
      <c r="CL124" s="99"/>
      <c r="CM124" s="88"/>
      <c r="CN124" s="88"/>
      <c r="CO124" s="173"/>
      <c r="DG124" s="80"/>
      <c r="DQ124" s="86"/>
      <c r="DZ124" s="88"/>
      <c r="EQ124" s="251"/>
    </row>
    <row r="125" spans="1:147" s="3" customFormat="1" ht="12">
      <c r="A125" s="103"/>
      <c r="B125" s="103"/>
      <c r="C125" s="176"/>
      <c r="E125" s="43"/>
      <c r="G125" s="43"/>
      <c r="R125" s="43"/>
      <c r="T125" s="43"/>
      <c r="U125" s="176"/>
      <c r="V125" s="98"/>
      <c r="W125" s="98"/>
      <c r="X125" s="98"/>
      <c r="Y125" s="98"/>
      <c r="AM125" s="176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E125" s="173"/>
      <c r="BG125" s="43"/>
      <c r="BT125" s="43"/>
      <c r="BV125" s="188"/>
      <c r="BW125" s="216"/>
      <c r="BX125" s="88"/>
      <c r="BY125" s="88"/>
      <c r="BZ125" s="88"/>
      <c r="CA125" s="88"/>
      <c r="CB125" s="99"/>
      <c r="CC125" s="99"/>
      <c r="CD125" s="99"/>
      <c r="CE125" s="99"/>
      <c r="CF125" s="99"/>
      <c r="CG125" s="99"/>
      <c r="CH125" s="99"/>
      <c r="CI125" s="99"/>
      <c r="CJ125" s="99"/>
      <c r="CK125" s="99"/>
      <c r="CL125" s="99"/>
      <c r="CM125" s="88"/>
      <c r="CN125" s="88"/>
      <c r="CO125" s="173"/>
      <c r="DG125" s="80"/>
      <c r="DQ125" s="86"/>
      <c r="DZ125" s="88"/>
      <c r="EQ125" s="251"/>
    </row>
    <row r="126" spans="1:147" s="3" customFormat="1" ht="12">
      <c r="A126" s="103"/>
      <c r="B126" s="103"/>
      <c r="C126" s="176"/>
      <c r="E126" s="43"/>
      <c r="G126" s="43"/>
      <c r="R126" s="43"/>
      <c r="T126" s="43"/>
      <c r="U126" s="176"/>
      <c r="V126" s="98"/>
      <c r="W126" s="98"/>
      <c r="X126" s="98"/>
      <c r="Y126" s="98"/>
      <c r="AC126" s="43"/>
      <c r="AD126" s="43"/>
      <c r="AE126" s="43"/>
      <c r="AI126" s="43"/>
      <c r="AM126" s="176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29"/>
      <c r="AZ126" s="29"/>
      <c r="BA126" s="43"/>
      <c r="BE126" s="173"/>
      <c r="BG126" s="43"/>
      <c r="BT126" s="43"/>
      <c r="BV126" s="188"/>
      <c r="BW126" s="216"/>
      <c r="BX126" s="88"/>
      <c r="BY126" s="88"/>
      <c r="BZ126" s="88"/>
      <c r="CA126" s="88"/>
      <c r="CB126" s="99"/>
      <c r="CC126" s="99"/>
      <c r="CD126" s="99"/>
      <c r="CE126" s="99"/>
      <c r="CF126" s="99"/>
      <c r="CG126" s="99"/>
      <c r="CH126" s="99"/>
      <c r="CI126" s="99"/>
      <c r="CJ126" s="99"/>
      <c r="CK126" s="99"/>
      <c r="CL126" s="99"/>
      <c r="CM126" s="88"/>
      <c r="CN126" s="88"/>
      <c r="CO126" s="173"/>
      <c r="DG126" s="80"/>
      <c r="DQ126" s="86"/>
      <c r="DZ126" s="88"/>
      <c r="EQ126" s="251"/>
    </row>
    <row r="127" spans="1:147" s="3" customFormat="1" ht="12">
      <c r="A127" s="103"/>
      <c r="B127" s="103"/>
      <c r="C127" s="176"/>
      <c r="E127" s="43"/>
      <c r="G127" s="43"/>
      <c r="R127" s="43"/>
      <c r="T127" s="43"/>
      <c r="U127" s="176"/>
      <c r="V127" s="98"/>
      <c r="W127" s="98"/>
      <c r="X127" s="98"/>
      <c r="Y127" s="98"/>
      <c r="Z127" s="43"/>
      <c r="AA127" s="43"/>
      <c r="AB127" s="43"/>
      <c r="AC127" s="43"/>
      <c r="AD127" s="43"/>
      <c r="AE127" s="43"/>
      <c r="AF127" s="43"/>
      <c r="AG127" s="43"/>
      <c r="AM127" s="176"/>
      <c r="AN127" s="43"/>
      <c r="AO127" s="43"/>
      <c r="AP127" s="43"/>
      <c r="AQ127" s="43"/>
      <c r="AW127" s="43"/>
      <c r="AX127" s="43"/>
      <c r="AY127" s="43"/>
      <c r="AZ127" s="43"/>
      <c r="BA127" s="43"/>
      <c r="BE127" s="173"/>
      <c r="BF127" s="43"/>
      <c r="BG127" s="43"/>
      <c r="BU127" s="43"/>
      <c r="BV127" s="206"/>
      <c r="BW127" s="217"/>
      <c r="BX127" s="88"/>
      <c r="BY127" s="88"/>
      <c r="BZ127" s="88"/>
      <c r="CA127" s="88"/>
      <c r="CB127" s="99"/>
      <c r="CC127" s="99"/>
      <c r="CD127" s="99"/>
      <c r="CE127" s="99"/>
      <c r="CF127" s="99"/>
      <c r="CG127" s="99"/>
      <c r="CH127" s="99"/>
      <c r="CI127" s="99"/>
      <c r="CJ127" s="99"/>
      <c r="CK127" s="99"/>
      <c r="CL127" s="99"/>
      <c r="CM127" s="79"/>
      <c r="CN127" s="79"/>
      <c r="CO127" s="173"/>
      <c r="DG127" s="80"/>
      <c r="DQ127" s="86"/>
      <c r="DZ127" s="88"/>
      <c r="EQ127" s="251"/>
    </row>
    <row r="128" spans="1:147" s="3" customFormat="1" ht="12">
      <c r="A128" s="103"/>
      <c r="B128" s="103"/>
      <c r="C128" s="176"/>
      <c r="E128" s="43"/>
      <c r="G128" s="43"/>
      <c r="R128" s="43"/>
      <c r="T128" s="43"/>
      <c r="U128" s="176"/>
      <c r="V128" s="98"/>
      <c r="W128" s="98"/>
      <c r="X128" s="98"/>
      <c r="Y128" s="98"/>
      <c r="AB128" s="43"/>
      <c r="AM128" s="176"/>
      <c r="AN128" s="43"/>
      <c r="AO128" s="43"/>
      <c r="AP128" s="43"/>
      <c r="AQ128" s="43"/>
      <c r="AR128" s="43"/>
      <c r="AW128" s="43"/>
      <c r="AX128" s="43"/>
      <c r="AY128" s="30"/>
      <c r="AZ128" s="29"/>
      <c r="BA128" s="43"/>
      <c r="BE128" s="173"/>
      <c r="BG128" s="43"/>
      <c r="BI128" s="43"/>
      <c r="BO128" s="43"/>
      <c r="BU128" s="43"/>
      <c r="BV128" s="188"/>
      <c r="BW128" s="216"/>
      <c r="BX128" s="88"/>
      <c r="BY128" s="88"/>
      <c r="BZ128" s="88"/>
      <c r="CA128" s="88"/>
      <c r="CB128" s="99"/>
      <c r="CC128" s="99"/>
      <c r="CD128" s="99"/>
      <c r="CE128" s="99"/>
      <c r="CF128" s="99"/>
      <c r="CG128" s="99"/>
      <c r="CH128" s="99"/>
      <c r="CI128" s="99"/>
      <c r="CJ128" s="99"/>
      <c r="CK128" s="99"/>
      <c r="CL128" s="99"/>
      <c r="CM128" s="88"/>
      <c r="CN128" s="88"/>
      <c r="CO128" s="173"/>
      <c r="DG128" s="80"/>
      <c r="DQ128" s="86"/>
      <c r="DZ128" s="88"/>
      <c r="EQ128" s="251"/>
    </row>
    <row r="129" spans="1:147" s="3" customFormat="1" ht="12">
      <c r="A129" s="103"/>
      <c r="B129" s="103"/>
      <c r="C129" s="176"/>
      <c r="E129" s="43"/>
      <c r="G129" s="43"/>
      <c r="R129" s="43"/>
      <c r="T129" s="43"/>
      <c r="U129" s="172"/>
      <c r="V129" s="79"/>
      <c r="W129" s="79"/>
      <c r="X129" s="79"/>
      <c r="Y129" s="79"/>
      <c r="AB129" s="43"/>
      <c r="AM129" s="172"/>
      <c r="AN129" s="43"/>
      <c r="AO129" s="79"/>
      <c r="AP129" s="79"/>
      <c r="AQ129" s="79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E129" s="173"/>
      <c r="BG129" s="43"/>
      <c r="BV129" s="188"/>
      <c r="BW129" s="216"/>
      <c r="BX129" s="88"/>
      <c r="BY129" s="88"/>
      <c r="BZ129" s="88"/>
      <c r="CA129" s="88"/>
      <c r="CB129" s="99"/>
      <c r="CC129" s="99"/>
      <c r="CD129" s="99"/>
      <c r="CE129" s="99"/>
      <c r="CF129" s="99"/>
      <c r="CG129" s="99"/>
      <c r="CH129" s="99"/>
      <c r="CI129" s="99"/>
      <c r="CJ129" s="99"/>
      <c r="CK129" s="99"/>
      <c r="CL129" s="99"/>
      <c r="CM129" s="88"/>
      <c r="CN129" s="88"/>
      <c r="CO129" s="173"/>
      <c r="DG129" s="80"/>
      <c r="DQ129" s="86"/>
      <c r="DZ129" s="88"/>
      <c r="EQ129" s="251"/>
    </row>
    <row r="130" spans="1:147" s="88" customFormat="1" ht="12">
      <c r="A130" s="80"/>
      <c r="B130" s="80"/>
      <c r="C130" s="172"/>
      <c r="G130" s="79"/>
      <c r="T130" s="43"/>
      <c r="U130" s="172"/>
      <c r="V130" s="79"/>
      <c r="W130" s="79"/>
      <c r="X130" s="79"/>
      <c r="Y130" s="79"/>
      <c r="AM130" s="172"/>
      <c r="AN130" s="79"/>
      <c r="AO130" s="79"/>
      <c r="AP130" s="79"/>
      <c r="AQ130" s="79"/>
      <c r="AR130" s="3"/>
      <c r="AS130" s="3"/>
      <c r="AT130" s="3"/>
      <c r="AU130" s="3"/>
      <c r="AV130" s="3"/>
      <c r="AW130" s="3"/>
      <c r="AX130" s="3"/>
      <c r="AY130" s="32"/>
      <c r="AZ130" s="32"/>
      <c r="BA130" s="3"/>
      <c r="BB130" s="86"/>
      <c r="BC130" s="86"/>
      <c r="BD130" s="86"/>
      <c r="BE130" s="174"/>
      <c r="BF130" s="79"/>
      <c r="BG130" s="79"/>
      <c r="BH130" s="79"/>
      <c r="BI130" s="79"/>
      <c r="BJ130" s="3"/>
      <c r="BK130" s="3"/>
      <c r="BL130" s="3"/>
      <c r="BM130" s="3"/>
      <c r="BN130" s="3"/>
      <c r="BO130" s="79"/>
      <c r="BP130" s="79"/>
      <c r="BQ130" s="79"/>
      <c r="BR130" s="79"/>
      <c r="BS130" s="79"/>
      <c r="BT130" s="79"/>
      <c r="BU130" s="79"/>
      <c r="BV130" s="188"/>
      <c r="BW130" s="216"/>
      <c r="CB130" s="90"/>
      <c r="CC130" s="90"/>
      <c r="CD130" s="90"/>
      <c r="CE130" s="90"/>
      <c r="CF130" s="90"/>
      <c r="CG130" s="90"/>
      <c r="CH130" s="90"/>
      <c r="CI130" s="90"/>
      <c r="CJ130" s="90"/>
      <c r="CK130" s="90"/>
      <c r="CL130" s="90"/>
      <c r="CO130" s="208"/>
      <c r="DG130" s="80"/>
      <c r="DQ130" s="80"/>
      <c r="EQ130" s="250"/>
    </row>
    <row r="131" spans="1:147" s="88" customFormat="1" ht="12">
      <c r="A131" s="87"/>
      <c r="B131" s="87"/>
      <c r="C131" s="172"/>
      <c r="E131" s="79"/>
      <c r="G131" s="79"/>
      <c r="I131" s="79"/>
      <c r="M131" s="79"/>
      <c r="Q131" s="79"/>
      <c r="R131" s="79"/>
      <c r="T131" s="43"/>
      <c r="U131" s="172"/>
      <c r="V131" s="79"/>
      <c r="W131" s="79"/>
      <c r="X131" s="79"/>
      <c r="Y131" s="79"/>
      <c r="AM131" s="172"/>
      <c r="AN131" s="79"/>
      <c r="AO131" s="79"/>
      <c r="AP131" s="79"/>
      <c r="AQ131" s="79"/>
      <c r="AS131" s="79"/>
      <c r="AT131" s="79"/>
      <c r="AU131" s="79"/>
      <c r="AV131" s="79"/>
      <c r="AW131" s="79"/>
      <c r="AX131" s="79"/>
      <c r="AY131" s="79"/>
      <c r="AZ131" s="79"/>
      <c r="BA131" s="79"/>
      <c r="BB131" s="34"/>
      <c r="BC131" s="34"/>
      <c r="BD131" s="34"/>
      <c r="BE131" s="222"/>
      <c r="BG131" s="79"/>
      <c r="BJ131" s="90"/>
      <c r="BK131" s="90"/>
      <c r="BL131" s="90"/>
      <c r="BM131" s="90"/>
      <c r="BN131" s="91"/>
      <c r="BP131" s="79"/>
      <c r="BR131" s="79"/>
      <c r="BS131" s="79"/>
      <c r="BT131" s="79"/>
      <c r="BU131" s="79"/>
      <c r="BV131" s="77"/>
      <c r="BW131" s="213"/>
      <c r="CB131" s="90"/>
      <c r="CC131" s="90"/>
      <c r="CD131" s="90"/>
      <c r="CE131" s="90"/>
      <c r="CF131" s="90"/>
      <c r="CG131" s="90"/>
      <c r="CH131" s="90"/>
      <c r="CI131" s="90"/>
      <c r="CJ131" s="90"/>
      <c r="CK131" s="90"/>
      <c r="CL131" s="90"/>
      <c r="CO131" s="172"/>
      <c r="CP131" s="79"/>
      <c r="CQ131" s="79"/>
      <c r="CR131" s="79"/>
      <c r="CS131" s="79"/>
      <c r="CT131" s="79"/>
      <c r="CU131" s="79"/>
      <c r="CV131" s="79"/>
      <c r="CW131" s="79"/>
      <c r="CX131" s="79"/>
      <c r="DG131" s="80"/>
      <c r="DQ131" s="80"/>
      <c r="EQ131" s="250"/>
    </row>
    <row r="132" spans="2:147" s="3" customFormat="1" ht="12">
      <c r="B132" s="86"/>
      <c r="C132" s="173"/>
      <c r="U132" s="173"/>
      <c r="AM132" s="173"/>
      <c r="AR132" s="79"/>
      <c r="BE132" s="173"/>
      <c r="BG132" s="79"/>
      <c r="BH132" s="88"/>
      <c r="BO132" s="88"/>
      <c r="BQ132" s="88"/>
      <c r="BV132" s="56"/>
      <c r="BW132" s="214"/>
      <c r="CK132" s="88"/>
      <c r="CL132" s="92"/>
      <c r="CM132" s="88"/>
      <c r="CN132" s="88"/>
      <c r="CO132" s="173"/>
      <c r="DG132" s="80"/>
      <c r="DQ132" s="86"/>
      <c r="DZ132" s="88"/>
      <c r="EQ132" s="173"/>
    </row>
    <row r="133" spans="1:147" s="3" customFormat="1" ht="12">
      <c r="A133" s="86"/>
      <c r="C133" s="173"/>
      <c r="U133" s="173"/>
      <c r="AM133" s="173"/>
      <c r="BE133" s="173"/>
      <c r="BW133" s="173"/>
      <c r="CL133" s="94"/>
      <c r="CO133" s="173"/>
      <c r="DG133" s="80"/>
      <c r="DQ133" s="86"/>
      <c r="DZ133" s="88"/>
      <c r="EQ133" s="173"/>
    </row>
    <row r="134" spans="3:147" s="3" customFormat="1" ht="12">
      <c r="C134" s="173"/>
      <c r="U134" s="173"/>
      <c r="AM134" s="173"/>
      <c r="BE134" s="173"/>
      <c r="BW134" s="173"/>
      <c r="CL134" s="94"/>
      <c r="CO134" s="173"/>
      <c r="DG134" s="80"/>
      <c r="DQ134" s="86"/>
      <c r="DZ134" s="88"/>
      <c r="EQ134" s="173"/>
    </row>
    <row r="135" spans="3:147" s="3" customFormat="1" ht="12">
      <c r="C135" s="173"/>
      <c r="U135" s="173"/>
      <c r="AM135" s="173"/>
      <c r="BE135" s="173"/>
      <c r="BW135" s="173"/>
      <c r="CL135" s="94"/>
      <c r="CO135" s="173"/>
      <c r="DG135" s="80"/>
      <c r="DQ135" s="86"/>
      <c r="DZ135" s="88"/>
      <c r="EQ135" s="173"/>
    </row>
    <row r="136" spans="3:147" s="3" customFormat="1" ht="12">
      <c r="C136" s="173"/>
      <c r="U136" s="173"/>
      <c r="AM136" s="173"/>
      <c r="BE136" s="173"/>
      <c r="BW136" s="173"/>
      <c r="CL136" s="94"/>
      <c r="CO136" s="173"/>
      <c r="DG136" s="80"/>
      <c r="DQ136" s="86"/>
      <c r="DZ136" s="88"/>
      <c r="EQ136" s="173"/>
    </row>
    <row r="137" spans="3:147" s="3" customFormat="1" ht="12">
      <c r="C137" s="173"/>
      <c r="U137" s="173"/>
      <c r="AM137" s="173"/>
      <c r="BE137" s="173"/>
      <c r="BW137" s="173"/>
      <c r="CL137" s="94"/>
      <c r="CO137" s="173"/>
      <c r="DG137" s="80"/>
      <c r="DQ137" s="86"/>
      <c r="DZ137" s="88"/>
      <c r="EQ137" s="173"/>
    </row>
    <row r="138" spans="3:147" s="3" customFormat="1" ht="12">
      <c r="C138" s="173"/>
      <c r="U138" s="173"/>
      <c r="AM138" s="173"/>
      <c r="BE138" s="173"/>
      <c r="BW138" s="173"/>
      <c r="CL138" s="94"/>
      <c r="CO138" s="173"/>
      <c r="DG138" s="80"/>
      <c r="DQ138" s="86"/>
      <c r="DZ138" s="88"/>
      <c r="EQ138" s="173"/>
    </row>
    <row r="139" spans="3:147" s="3" customFormat="1" ht="12">
      <c r="C139" s="173"/>
      <c r="U139" s="173"/>
      <c r="AM139" s="173"/>
      <c r="BE139" s="173"/>
      <c r="BW139" s="173"/>
      <c r="CL139" s="94"/>
      <c r="CO139" s="173"/>
      <c r="DG139" s="80"/>
      <c r="DQ139" s="86"/>
      <c r="DZ139" s="88"/>
      <c r="EQ139" s="173"/>
    </row>
    <row r="140" spans="3:147" s="3" customFormat="1" ht="12">
      <c r="C140" s="173"/>
      <c r="U140" s="173"/>
      <c r="AM140" s="173"/>
      <c r="BE140" s="173"/>
      <c r="BW140" s="173"/>
      <c r="CL140" s="94"/>
      <c r="CO140" s="173"/>
      <c r="DG140" s="80"/>
      <c r="DQ140" s="86"/>
      <c r="DZ140" s="88"/>
      <c r="EQ140" s="173"/>
    </row>
  </sheetData>
  <sheetProtection/>
  <mergeCells count="19">
    <mergeCell ref="D7:G7"/>
    <mergeCell ref="BX7:CA7"/>
    <mergeCell ref="CB7:CL7"/>
    <mergeCell ref="Z7:AK7"/>
    <mergeCell ref="BF7:BI7"/>
    <mergeCell ref="BJ7:BT7"/>
    <mergeCell ref="H7:S7"/>
    <mergeCell ref="AN7:AQ7"/>
    <mergeCell ref="AR7:BC7"/>
    <mergeCell ref="GA7:GE7"/>
    <mergeCell ref="FJ7:FN7"/>
    <mergeCell ref="ER7:EV7"/>
    <mergeCell ref="V7:Y7"/>
    <mergeCell ref="CP7:CS7"/>
    <mergeCell ref="DZ7:EC7"/>
    <mergeCell ref="ED7:EO7"/>
    <mergeCell ref="CT7:DE7"/>
    <mergeCell ref="DH7:DK7"/>
    <mergeCell ref="DL7:DW7"/>
  </mergeCells>
  <printOptions/>
  <pageMargins left="0.3937007874015748" right="0" top="0.5905511811023623" bottom="0.3937007874015748" header="0.5118110236220472" footer="0.5118110236220472"/>
  <pageSetup horizontalDpi="600" verticalDpi="600" orientation="landscape" paperSize="9" r:id="rId1"/>
  <colBreaks count="2" manualBreakCount="2">
    <brk id="47" min="1" max="49" man="1"/>
    <brk id="63" min="1" max="4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EL141"/>
  <sheetViews>
    <sheetView tabSelected="1" zoomScalePageLayoutView="0" workbookViewId="0" topLeftCell="A1">
      <pane xSplit="1" topLeftCell="EG1" activePane="topRight" state="frozen"/>
      <selection pane="topLeft" activeCell="A1" sqref="A1"/>
      <selection pane="topRight" activeCell="EM21" sqref="EM21"/>
    </sheetView>
  </sheetViews>
  <sheetFormatPr defaultColWidth="9.00390625" defaultRowHeight="12.75"/>
  <cols>
    <col min="1" max="1" width="50.375" style="18" customWidth="1"/>
    <col min="2" max="2" width="9.125" style="177" customWidth="1"/>
    <col min="3" max="11" width="9.125" style="18" customWidth="1"/>
    <col min="12" max="12" width="7.75390625" style="18" customWidth="1"/>
    <col min="13" max="13" width="9.875" style="18" customWidth="1"/>
    <col min="14" max="14" width="7.625" style="18" customWidth="1"/>
    <col min="15" max="15" width="8.875" style="18" customWidth="1"/>
    <col min="16" max="16" width="9.75390625" style="18" customWidth="1"/>
    <col min="17" max="17" width="9.125" style="18" customWidth="1"/>
    <col min="18" max="19" width="9.25390625" style="242" customWidth="1"/>
    <col min="20" max="23" width="9.125" style="0" customWidth="1"/>
    <col min="44" max="44" width="10.25390625" style="0" bestFit="1" customWidth="1"/>
    <col min="53" max="53" width="7.875" style="242" customWidth="1"/>
    <col min="54" max="57" width="9.125" style="242" customWidth="1"/>
    <col min="58" max="60" width="9.125" style="0" customWidth="1"/>
    <col min="61" max="61" width="10.75390625" style="0" customWidth="1"/>
    <col min="62" max="62" width="8.75390625" style="0" customWidth="1"/>
    <col min="63" max="63" width="8.625" style="0" customWidth="1"/>
    <col min="64" max="64" width="9.00390625" style="0" customWidth="1"/>
    <col min="65" max="65" width="9.625" style="0" customWidth="1"/>
    <col min="66" max="66" width="10.75390625" style="0" customWidth="1"/>
    <col min="67" max="67" width="9.00390625" style="0" customWidth="1"/>
    <col min="88" max="91" width="10.375" style="0" bestFit="1" customWidth="1"/>
    <col min="92" max="93" width="10.375" style="331" bestFit="1" customWidth="1"/>
    <col min="94" max="95" width="10.625" style="331" bestFit="1" customWidth="1"/>
    <col min="96" max="96" width="9.75390625" style="331" customWidth="1"/>
    <col min="97" max="97" width="9.625" style="332" customWidth="1"/>
    <col min="98" max="98" width="10.625" style="0" bestFit="1" customWidth="1"/>
    <col min="99" max="99" width="11.125" style="0" bestFit="1" customWidth="1"/>
    <col min="100" max="100" width="9.625" style="0" customWidth="1"/>
    <col min="101" max="103" width="10.375" style="0" bestFit="1" customWidth="1"/>
    <col min="104" max="104" width="10.00390625" style="0" bestFit="1" customWidth="1"/>
    <col min="105" max="106" width="9.375" style="0" bestFit="1" customWidth="1"/>
    <col min="107" max="107" width="9.25390625" style="0" customWidth="1"/>
    <col min="108" max="108" width="9.75390625" style="0" customWidth="1"/>
    <col min="109" max="110" width="11.00390625" style="0" bestFit="1" customWidth="1"/>
    <col min="111" max="111" width="9.375" style="0" bestFit="1" customWidth="1"/>
    <col min="119" max="119" width="10.875" style="0" customWidth="1"/>
    <col min="120" max="125" width="10.75390625" style="0" customWidth="1"/>
    <col min="126" max="126" width="12.25390625" style="0" customWidth="1"/>
    <col min="127" max="127" width="10.125" style="0" customWidth="1"/>
    <col min="128" max="128" width="11.25390625" style="343" customWidth="1"/>
    <col min="129" max="129" width="10.375" style="343" bestFit="1" customWidth="1"/>
    <col min="130" max="130" width="10.625" style="242" customWidth="1"/>
    <col min="131" max="131" width="10.25390625" style="0" bestFit="1" customWidth="1"/>
    <col min="132" max="132" width="10.875" style="0" bestFit="1" customWidth="1"/>
    <col min="133" max="133" width="11.875" style="0" bestFit="1" customWidth="1"/>
    <col min="134" max="134" width="10.875" style="0" bestFit="1" customWidth="1"/>
    <col min="135" max="135" width="9.875" style="0" customWidth="1"/>
    <col min="136" max="136" width="12.125" style="343" customWidth="1"/>
    <col min="137" max="137" width="11.875" style="0" bestFit="1" customWidth="1"/>
    <col min="138" max="138" width="10.875" style="0" bestFit="1" customWidth="1"/>
    <col min="140" max="140" width="9.875" style="0" customWidth="1"/>
    <col min="141" max="141" width="11.875" style="0" bestFit="1" customWidth="1"/>
    <col min="142" max="142" width="9.625" style="0" customWidth="1"/>
  </cols>
  <sheetData>
    <row r="2" spans="1:88" ht="12.75">
      <c r="A2" s="238" t="s">
        <v>79</v>
      </c>
      <c r="B2" s="228"/>
      <c r="C2" s="9"/>
      <c r="D2" s="9"/>
      <c r="E2" s="9"/>
      <c r="F2" s="9"/>
      <c r="G2" s="9"/>
      <c r="H2" s="2"/>
      <c r="I2" s="2"/>
      <c r="J2" s="2"/>
      <c r="K2" s="2"/>
      <c r="L2" s="2"/>
      <c r="M2" s="2"/>
      <c r="N2" s="2"/>
      <c r="O2" s="2"/>
      <c r="P2" s="2"/>
      <c r="Q2" s="307"/>
      <c r="R2" s="305"/>
      <c r="S2" s="287"/>
      <c r="BR2" s="315"/>
      <c r="BS2" s="315"/>
      <c r="CI2" s="315"/>
      <c r="CJ2" s="315"/>
    </row>
    <row r="3" spans="1:142" ht="13.5" thickBot="1">
      <c r="A3" s="58" t="s">
        <v>78</v>
      </c>
      <c r="B3" s="229"/>
      <c r="C3" s="9"/>
      <c r="D3" s="9"/>
      <c r="E3" s="9"/>
      <c r="F3" s="9"/>
      <c r="G3" s="9"/>
      <c r="H3" s="7"/>
      <c r="I3" s="7"/>
      <c r="J3" s="7"/>
      <c r="K3" s="7"/>
      <c r="L3" s="7"/>
      <c r="M3" s="7"/>
      <c r="N3" s="7"/>
      <c r="O3" s="7"/>
      <c r="P3" s="7"/>
      <c r="Q3" s="7"/>
      <c r="R3" s="288"/>
      <c r="S3" s="287"/>
      <c r="BA3" s="314"/>
      <c r="BQ3" s="303"/>
      <c r="BR3" s="303"/>
      <c r="CI3" s="303"/>
      <c r="CZ3" s="303"/>
      <c r="EH3" s="303"/>
      <c r="EI3" s="303"/>
      <c r="EJ3" s="303"/>
      <c r="EK3" s="303"/>
      <c r="EL3" s="303"/>
    </row>
    <row r="4" spans="1:69" ht="13.5" hidden="1" thickBot="1">
      <c r="A4" s="35"/>
      <c r="B4" s="162">
        <v>2014</v>
      </c>
      <c r="C4" s="37" t="s">
        <v>1</v>
      </c>
      <c r="D4" s="37" t="s">
        <v>2</v>
      </c>
      <c r="E4" s="37" t="s">
        <v>3</v>
      </c>
      <c r="F4" s="37" t="s">
        <v>4</v>
      </c>
      <c r="G4" s="279" t="s">
        <v>22</v>
      </c>
      <c r="H4" s="279" t="s">
        <v>23</v>
      </c>
      <c r="I4" s="279" t="s">
        <v>24</v>
      </c>
      <c r="J4" s="279" t="s">
        <v>25</v>
      </c>
      <c r="K4" s="279" t="s">
        <v>26</v>
      </c>
      <c r="L4" s="279" t="s">
        <v>27</v>
      </c>
      <c r="M4" s="279" t="s">
        <v>28</v>
      </c>
      <c r="N4" s="279" t="s">
        <v>29</v>
      </c>
      <c r="O4" s="279" t="s">
        <v>30</v>
      </c>
      <c r="P4" s="279" t="s">
        <v>31</v>
      </c>
      <c r="Q4" s="279" t="s">
        <v>32</v>
      </c>
      <c r="R4" s="285" t="s">
        <v>33</v>
      </c>
      <c r="S4" s="285"/>
      <c r="T4" s="37" t="s">
        <v>1</v>
      </c>
      <c r="U4" s="37" t="s">
        <v>2</v>
      </c>
      <c r="V4" s="37" t="s">
        <v>3</v>
      </c>
      <c r="W4" s="37" t="s">
        <v>4</v>
      </c>
      <c r="X4" s="279" t="s">
        <v>22</v>
      </c>
      <c r="Y4" s="279" t="s">
        <v>23</v>
      </c>
      <c r="Z4" s="279" t="s">
        <v>24</v>
      </c>
      <c r="AA4" s="279" t="s">
        <v>25</v>
      </c>
      <c r="AB4" s="279" t="s">
        <v>26</v>
      </c>
      <c r="AC4" s="279" t="s">
        <v>27</v>
      </c>
      <c r="AD4" s="279" t="s">
        <v>28</v>
      </c>
      <c r="AE4" s="279" t="s">
        <v>29</v>
      </c>
      <c r="AF4" s="279" t="s">
        <v>30</v>
      </c>
      <c r="AG4" s="279" t="s">
        <v>31</v>
      </c>
      <c r="AH4" s="279" t="s">
        <v>32</v>
      </c>
      <c r="AI4" s="279" t="s">
        <v>33</v>
      </c>
      <c r="AJ4" s="279"/>
      <c r="AK4" s="37" t="s">
        <v>1</v>
      </c>
      <c r="AL4" s="37" t="s">
        <v>2</v>
      </c>
      <c r="AM4" s="37" t="s">
        <v>3</v>
      </c>
      <c r="AN4" s="37" t="s">
        <v>4</v>
      </c>
      <c r="AO4" s="279" t="s">
        <v>22</v>
      </c>
      <c r="AP4" s="279" t="s">
        <v>23</v>
      </c>
      <c r="AQ4" s="279" t="s">
        <v>24</v>
      </c>
      <c r="AR4" s="279" t="s">
        <v>25</v>
      </c>
      <c r="AS4" s="279" t="s">
        <v>26</v>
      </c>
      <c r="AT4" s="279" t="s">
        <v>27</v>
      </c>
      <c r="AU4" s="279" t="s">
        <v>28</v>
      </c>
      <c r="AV4" s="279" t="s">
        <v>29</v>
      </c>
      <c r="AW4" s="279" t="s">
        <v>30</v>
      </c>
      <c r="AX4" s="279" t="s">
        <v>31</v>
      </c>
      <c r="AY4" s="279" t="s">
        <v>32</v>
      </c>
      <c r="AZ4" s="279" t="s">
        <v>33</v>
      </c>
      <c r="BA4" s="314"/>
      <c r="BB4" s="312" t="s">
        <v>1</v>
      </c>
      <c r="BC4" s="312" t="s">
        <v>2</v>
      </c>
      <c r="BD4" s="312" t="s">
        <v>3</v>
      </c>
      <c r="BE4" s="312" t="s">
        <v>4</v>
      </c>
      <c r="BF4" s="279" t="s">
        <v>22</v>
      </c>
      <c r="BG4" s="279" t="s">
        <v>23</v>
      </c>
      <c r="BH4" s="279" t="s">
        <v>24</v>
      </c>
      <c r="BI4" s="279" t="s">
        <v>25</v>
      </c>
      <c r="BJ4" s="279" t="s">
        <v>26</v>
      </c>
      <c r="BK4" s="279" t="s">
        <v>27</v>
      </c>
      <c r="BL4" s="279" t="s">
        <v>28</v>
      </c>
      <c r="BM4" s="279" t="s">
        <v>29</v>
      </c>
      <c r="BN4" s="279" t="s">
        <v>30</v>
      </c>
      <c r="BO4" s="279" t="s">
        <v>31</v>
      </c>
      <c r="BP4" s="279" t="s">
        <v>32</v>
      </c>
      <c r="BQ4" s="279" t="s">
        <v>33</v>
      </c>
    </row>
    <row r="5" spans="1:69" ht="13.5" hidden="1" thickBot="1">
      <c r="A5" s="9"/>
      <c r="B5" s="9"/>
      <c r="C5" s="9"/>
      <c r="D5" s="9"/>
      <c r="E5" s="9"/>
      <c r="F5" s="9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9"/>
      <c r="S5" s="289"/>
      <c r="T5" s="9"/>
      <c r="U5" s="9"/>
      <c r="V5" s="9"/>
      <c r="W5" s="9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9"/>
      <c r="AL5" s="9"/>
      <c r="AM5" s="9"/>
      <c r="AN5" s="9"/>
      <c r="AO5" s="280"/>
      <c r="AP5" s="280"/>
      <c r="AQ5" s="280"/>
      <c r="AR5" s="280"/>
      <c r="AS5" s="280"/>
      <c r="AT5" s="280"/>
      <c r="AU5" s="280"/>
      <c r="AV5" s="280"/>
      <c r="AW5" s="280"/>
      <c r="AX5" s="280"/>
      <c r="AY5" s="280"/>
      <c r="AZ5" s="280"/>
      <c r="BB5" s="313"/>
      <c r="BC5" s="313"/>
      <c r="BD5" s="313"/>
      <c r="BE5" s="313"/>
      <c r="BF5" s="280"/>
      <c r="BG5" s="280"/>
      <c r="BH5" s="280"/>
      <c r="BI5" s="280"/>
      <c r="BJ5" s="280"/>
      <c r="BK5" s="280"/>
      <c r="BL5" s="280"/>
      <c r="BM5" s="280"/>
      <c r="BN5" s="280"/>
      <c r="BO5" s="280"/>
      <c r="BP5" s="280"/>
      <c r="BQ5" s="280"/>
    </row>
    <row r="6" spans="1:69" ht="13.5" hidden="1" thickBot="1">
      <c r="A6" s="9"/>
      <c r="B6" s="9"/>
      <c r="C6" s="9"/>
      <c r="D6" s="9"/>
      <c r="E6" s="9"/>
      <c r="F6" s="9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308"/>
      <c r="R6" s="308"/>
      <c r="S6" s="289"/>
      <c r="T6" s="9"/>
      <c r="U6" s="9"/>
      <c r="V6" s="9"/>
      <c r="W6" s="9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  <c r="AK6" s="9"/>
      <c r="AL6" s="9"/>
      <c r="AM6" s="9"/>
      <c r="AN6" s="9"/>
      <c r="AO6" s="280"/>
      <c r="AP6" s="280"/>
      <c r="AQ6" s="280"/>
      <c r="AR6" s="280"/>
      <c r="AS6" s="280"/>
      <c r="AT6" s="280"/>
      <c r="AU6" s="280"/>
      <c r="AV6" s="280"/>
      <c r="AW6" s="280"/>
      <c r="AX6" s="280"/>
      <c r="AY6" s="280"/>
      <c r="AZ6" s="280"/>
      <c r="BA6" s="314"/>
      <c r="BB6" s="313"/>
      <c r="BC6" s="313"/>
      <c r="BD6" s="313"/>
      <c r="BE6" s="313"/>
      <c r="BF6" s="280"/>
      <c r="BG6" s="280"/>
      <c r="BH6" s="280"/>
      <c r="BI6" s="280"/>
      <c r="BJ6" s="280"/>
      <c r="BK6" s="280"/>
      <c r="BL6" s="280"/>
      <c r="BM6" s="280"/>
      <c r="BN6" s="280"/>
      <c r="BO6" s="280"/>
      <c r="BP6" s="280"/>
      <c r="BQ6" s="280"/>
    </row>
    <row r="7" spans="1:138" ht="12.75">
      <c r="A7" s="151"/>
      <c r="B7" s="230"/>
      <c r="C7" s="374"/>
      <c r="D7" s="374"/>
      <c r="E7" s="374"/>
      <c r="F7" s="374"/>
      <c r="G7" s="379" t="s">
        <v>131</v>
      </c>
      <c r="H7" s="379"/>
      <c r="I7" s="379"/>
      <c r="J7" s="379"/>
      <c r="K7" s="379"/>
      <c r="L7" s="379"/>
      <c r="M7" s="379"/>
      <c r="N7" s="379"/>
      <c r="O7" s="379"/>
      <c r="P7" s="379"/>
      <c r="Q7" s="379"/>
      <c r="R7" s="379"/>
      <c r="S7" s="295">
        <v>2015</v>
      </c>
      <c r="T7" s="374"/>
      <c r="U7" s="374"/>
      <c r="V7" s="374"/>
      <c r="W7" s="374"/>
      <c r="X7" s="379">
        <v>2015</v>
      </c>
      <c r="Y7" s="379"/>
      <c r="Z7" s="379"/>
      <c r="AA7" s="379"/>
      <c r="AB7" s="379"/>
      <c r="AC7" s="379"/>
      <c r="AD7" s="379"/>
      <c r="AE7" s="379"/>
      <c r="AF7" s="379"/>
      <c r="AG7" s="379"/>
      <c r="AH7" s="379"/>
      <c r="AI7" s="379"/>
      <c r="AJ7" s="295"/>
      <c r="AK7" s="374"/>
      <c r="AL7" s="374"/>
      <c r="AM7" s="374"/>
      <c r="AN7" s="374"/>
      <c r="AO7" s="379">
        <v>2016</v>
      </c>
      <c r="AP7" s="379"/>
      <c r="AQ7" s="379"/>
      <c r="AR7" s="379"/>
      <c r="AS7" s="379"/>
      <c r="AT7" s="379"/>
      <c r="AU7" s="379"/>
      <c r="AV7" s="379"/>
      <c r="AW7" s="379"/>
      <c r="AX7" s="379"/>
      <c r="AY7" s="379"/>
      <c r="AZ7" s="379"/>
      <c r="BB7" s="378"/>
      <c r="BC7" s="378"/>
      <c r="BD7" s="378"/>
      <c r="BE7" s="378"/>
      <c r="BF7" s="379">
        <v>2017</v>
      </c>
      <c r="BG7" s="379"/>
      <c r="BH7" s="379"/>
      <c r="BI7" s="379"/>
      <c r="BJ7" s="379"/>
      <c r="BK7" s="379"/>
      <c r="BL7" s="379"/>
      <c r="BM7" s="379"/>
      <c r="BN7" s="379"/>
      <c r="BO7" s="379"/>
      <c r="BP7" s="379"/>
      <c r="BQ7" s="379"/>
      <c r="BR7" s="242"/>
      <c r="BS7" s="378"/>
      <c r="BT7" s="378"/>
      <c r="BU7" s="378"/>
      <c r="BV7" s="378"/>
      <c r="BW7" s="379">
        <v>2018</v>
      </c>
      <c r="BX7" s="379"/>
      <c r="BY7" s="379"/>
      <c r="BZ7" s="379"/>
      <c r="CA7" s="379"/>
      <c r="CB7" s="379"/>
      <c r="CC7" s="379"/>
      <c r="CD7" s="379"/>
      <c r="CE7" s="379"/>
      <c r="CF7" s="379"/>
      <c r="CG7" s="379"/>
      <c r="CH7" s="379"/>
      <c r="CI7" s="242"/>
      <c r="CJ7" s="378"/>
      <c r="CK7" s="378"/>
      <c r="CL7" s="378"/>
      <c r="CM7" s="378"/>
      <c r="CN7" s="379">
        <v>2019</v>
      </c>
      <c r="CO7" s="379"/>
      <c r="CP7" s="379"/>
      <c r="CQ7" s="379"/>
      <c r="CR7" s="379"/>
      <c r="CS7" s="379"/>
      <c r="CT7" s="379"/>
      <c r="CU7" s="379"/>
      <c r="CV7" s="379"/>
      <c r="CW7" s="379"/>
      <c r="CX7" s="379"/>
      <c r="CY7" s="379"/>
      <c r="CZ7" s="242"/>
      <c r="DA7" s="378"/>
      <c r="DB7" s="378"/>
      <c r="DC7" s="378"/>
      <c r="DD7" s="378"/>
      <c r="DE7" s="379">
        <v>2020</v>
      </c>
      <c r="DF7" s="379"/>
      <c r="DG7" s="379"/>
      <c r="DH7" s="379"/>
      <c r="DI7" s="379"/>
      <c r="DJ7" s="379"/>
      <c r="DK7" s="379"/>
      <c r="DL7" s="379"/>
      <c r="DM7" s="379"/>
      <c r="DN7" s="379"/>
      <c r="DO7" s="379"/>
      <c r="DP7" s="379"/>
      <c r="DQ7" s="380">
        <v>2021</v>
      </c>
      <c r="DR7" s="381"/>
      <c r="DS7" s="381"/>
      <c r="DT7" s="381"/>
      <c r="DU7" s="381"/>
      <c r="DV7" s="381"/>
      <c r="DW7" s="381"/>
      <c r="DX7" s="381"/>
      <c r="DY7" s="381"/>
      <c r="DZ7" s="381"/>
      <c r="EA7" s="381"/>
      <c r="EB7" s="381"/>
      <c r="EC7" s="381"/>
      <c r="ED7" s="381"/>
      <c r="EE7" s="381"/>
      <c r="EF7" s="381"/>
      <c r="EG7" s="382"/>
      <c r="EH7" s="366">
        <v>2022</v>
      </c>
    </row>
    <row r="8" spans="1:142" s="338" customFormat="1" ht="13.5" thickBot="1">
      <c r="A8" s="281" t="s">
        <v>49</v>
      </c>
      <c r="B8" s="336">
        <v>2014</v>
      </c>
      <c r="C8" s="281" t="s">
        <v>1</v>
      </c>
      <c r="D8" s="281" t="s">
        <v>2</v>
      </c>
      <c r="E8" s="281" t="s">
        <v>3</v>
      </c>
      <c r="F8" s="281" t="s">
        <v>4</v>
      </c>
      <c r="G8" s="281" t="s">
        <v>5</v>
      </c>
      <c r="H8" s="281" t="s">
        <v>6</v>
      </c>
      <c r="I8" s="281" t="s">
        <v>7</v>
      </c>
      <c r="J8" s="281" t="s">
        <v>8</v>
      </c>
      <c r="K8" s="281" t="s">
        <v>9</v>
      </c>
      <c r="L8" s="281" t="s">
        <v>10</v>
      </c>
      <c r="M8" s="281" t="s">
        <v>11</v>
      </c>
      <c r="N8" s="281" t="s">
        <v>12</v>
      </c>
      <c r="O8" s="281" t="s">
        <v>16</v>
      </c>
      <c r="P8" s="281" t="s">
        <v>13</v>
      </c>
      <c r="Q8" s="281" t="s">
        <v>14</v>
      </c>
      <c r="R8" s="286" t="s">
        <v>15</v>
      </c>
      <c r="S8" s="286"/>
      <c r="T8" s="281" t="s">
        <v>1</v>
      </c>
      <c r="U8" s="281" t="s">
        <v>2</v>
      </c>
      <c r="V8" s="281" t="s">
        <v>3</v>
      </c>
      <c r="W8" s="281" t="s">
        <v>4</v>
      </c>
      <c r="X8" s="281" t="s">
        <v>5</v>
      </c>
      <c r="Y8" s="281" t="s">
        <v>6</v>
      </c>
      <c r="Z8" s="281" t="s">
        <v>7</v>
      </c>
      <c r="AA8" s="281" t="s">
        <v>8</v>
      </c>
      <c r="AB8" s="281" t="s">
        <v>9</v>
      </c>
      <c r="AC8" s="281" t="s">
        <v>10</v>
      </c>
      <c r="AD8" s="281" t="s">
        <v>11</v>
      </c>
      <c r="AE8" s="281" t="s">
        <v>12</v>
      </c>
      <c r="AF8" s="281" t="s">
        <v>16</v>
      </c>
      <c r="AG8" s="281" t="s">
        <v>13</v>
      </c>
      <c r="AH8" s="281" t="s">
        <v>14</v>
      </c>
      <c r="AI8" s="281" t="s">
        <v>15</v>
      </c>
      <c r="AJ8" s="336">
        <v>2016</v>
      </c>
      <c r="AK8" s="281" t="s">
        <v>1</v>
      </c>
      <c r="AL8" s="281" t="s">
        <v>2</v>
      </c>
      <c r="AM8" s="281" t="s">
        <v>3</v>
      </c>
      <c r="AN8" s="281" t="s">
        <v>4</v>
      </c>
      <c r="AO8" s="281" t="s">
        <v>5</v>
      </c>
      <c r="AP8" s="281" t="s">
        <v>6</v>
      </c>
      <c r="AQ8" s="281" t="s">
        <v>7</v>
      </c>
      <c r="AR8" s="281" t="s">
        <v>8</v>
      </c>
      <c r="AS8" s="281" t="s">
        <v>9</v>
      </c>
      <c r="AT8" s="281" t="s">
        <v>10</v>
      </c>
      <c r="AU8" s="281" t="s">
        <v>11</v>
      </c>
      <c r="AV8" s="281" t="s">
        <v>12</v>
      </c>
      <c r="AW8" s="281" t="s">
        <v>16</v>
      </c>
      <c r="AX8" s="281" t="s">
        <v>13</v>
      </c>
      <c r="AY8" s="281" t="s">
        <v>14</v>
      </c>
      <c r="AZ8" s="281" t="s">
        <v>15</v>
      </c>
      <c r="BA8" s="337">
        <v>2017</v>
      </c>
      <c r="BB8" s="286" t="s">
        <v>1</v>
      </c>
      <c r="BC8" s="286" t="s">
        <v>2</v>
      </c>
      <c r="BD8" s="286" t="s">
        <v>3</v>
      </c>
      <c r="BE8" s="286" t="s">
        <v>4</v>
      </c>
      <c r="BF8" s="281" t="s">
        <v>5</v>
      </c>
      <c r="BG8" s="281" t="s">
        <v>6</v>
      </c>
      <c r="BH8" s="281" t="s">
        <v>7</v>
      </c>
      <c r="BI8" s="281" t="s">
        <v>8</v>
      </c>
      <c r="BJ8" s="281" t="s">
        <v>9</v>
      </c>
      <c r="BK8" s="281" t="s">
        <v>10</v>
      </c>
      <c r="BL8" s="319" t="s">
        <v>11</v>
      </c>
      <c r="BM8" s="281" t="s">
        <v>12</v>
      </c>
      <c r="BN8" s="281" t="s">
        <v>16</v>
      </c>
      <c r="BO8" s="319" t="s">
        <v>13</v>
      </c>
      <c r="BP8" s="281" t="s">
        <v>14</v>
      </c>
      <c r="BQ8" s="281" t="s">
        <v>15</v>
      </c>
      <c r="BR8" s="337">
        <v>2018</v>
      </c>
      <c r="BS8" s="286" t="s">
        <v>1</v>
      </c>
      <c r="BT8" s="286" t="s">
        <v>2</v>
      </c>
      <c r="BU8" s="286" t="s">
        <v>3</v>
      </c>
      <c r="BV8" s="286" t="s">
        <v>4</v>
      </c>
      <c r="BW8" s="281" t="s">
        <v>5</v>
      </c>
      <c r="BX8" s="281" t="s">
        <v>6</v>
      </c>
      <c r="BY8" s="281" t="s">
        <v>7</v>
      </c>
      <c r="BZ8" s="281" t="s">
        <v>8</v>
      </c>
      <c r="CA8" s="281" t="s">
        <v>9</v>
      </c>
      <c r="CB8" s="281" t="s">
        <v>10</v>
      </c>
      <c r="CC8" s="281" t="s">
        <v>11</v>
      </c>
      <c r="CD8" s="281" t="s">
        <v>12</v>
      </c>
      <c r="CE8" s="281" t="s">
        <v>16</v>
      </c>
      <c r="CF8" s="281" t="s">
        <v>13</v>
      </c>
      <c r="CG8" s="281" t="s">
        <v>14</v>
      </c>
      <c r="CH8" s="281" t="s">
        <v>15</v>
      </c>
      <c r="CI8" s="337">
        <v>2019</v>
      </c>
      <c r="CJ8" s="286" t="s">
        <v>1</v>
      </c>
      <c r="CK8" s="286" t="s">
        <v>2</v>
      </c>
      <c r="CL8" s="286" t="s">
        <v>3</v>
      </c>
      <c r="CM8" s="286" t="s">
        <v>4</v>
      </c>
      <c r="CN8" s="324" t="s">
        <v>5</v>
      </c>
      <c r="CO8" s="324" t="s">
        <v>6</v>
      </c>
      <c r="CP8" s="324" t="s">
        <v>7</v>
      </c>
      <c r="CQ8" s="324" t="s">
        <v>8</v>
      </c>
      <c r="CR8" s="324" t="s">
        <v>9</v>
      </c>
      <c r="CS8" s="325" t="s">
        <v>10</v>
      </c>
      <c r="CT8" s="281" t="s">
        <v>11</v>
      </c>
      <c r="CU8" s="281" t="s">
        <v>12</v>
      </c>
      <c r="CV8" s="281" t="s">
        <v>16</v>
      </c>
      <c r="CW8" s="281" t="s">
        <v>13</v>
      </c>
      <c r="CX8" s="281" t="s">
        <v>14</v>
      </c>
      <c r="CY8" s="281" t="s">
        <v>15</v>
      </c>
      <c r="CZ8" s="337">
        <v>2020</v>
      </c>
      <c r="DA8" s="286" t="s">
        <v>1</v>
      </c>
      <c r="DB8" s="286" t="s">
        <v>2</v>
      </c>
      <c r="DC8" s="286" t="s">
        <v>3</v>
      </c>
      <c r="DD8" s="286" t="s">
        <v>4</v>
      </c>
      <c r="DE8" s="324" t="s">
        <v>5</v>
      </c>
      <c r="DF8" s="324" t="s">
        <v>6</v>
      </c>
      <c r="DG8" s="324" t="s">
        <v>7</v>
      </c>
      <c r="DH8" s="324" t="s">
        <v>8</v>
      </c>
      <c r="DI8" s="324" t="s">
        <v>9</v>
      </c>
      <c r="DJ8" s="325" t="s">
        <v>10</v>
      </c>
      <c r="DK8" s="281" t="s">
        <v>11</v>
      </c>
      <c r="DL8" s="281" t="s">
        <v>12</v>
      </c>
      <c r="DM8" s="281" t="s">
        <v>16</v>
      </c>
      <c r="DN8" s="281" t="s">
        <v>13</v>
      </c>
      <c r="DO8" s="281" t="s">
        <v>14</v>
      </c>
      <c r="DP8" s="281" t="s">
        <v>15</v>
      </c>
      <c r="DQ8" s="337">
        <v>2021</v>
      </c>
      <c r="DR8" s="286" t="s">
        <v>1</v>
      </c>
      <c r="DS8" s="286" t="s">
        <v>2</v>
      </c>
      <c r="DT8" s="286" t="s">
        <v>3</v>
      </c>
      <c r="DU8" s="286" t="s">
        <v>4</v>
      </c>
      <c r="DV8" s="324" t="s">
        <v>5</v>
      </c>
      <c r="DW8" s="324" t="s">
        <v>6</v>
      </c>
      <c r="DX8" s="325" t="s">
        <v>7</v>
      </c>
      <c r="DY8" s="325" t="s">
        <v>8</v>
      </c>
      <c r="DZ8" s="325" t="s">
        <v>9</v>
      </c>
      <c r="EA8" s="325" t="s">
        <v>10</v>
      </c>
      <c r="EB8" s="281" t="s">
        <v>11</v>
      </c>
      <c r="EC8" s="281" t="s">
        <v>12</v>
      </c>
      <c r="ED8" s="281" t="s">
        <v>16</v>
      </c>
      <c r="EE8" s="281" t="s">
        <v>13</v>
      </c>
      <c r="EF8" s="325" t="s">
        <v>14</v>
      </c>
      <c r="EG8" s="353" t="s">
        <v>15</v>
      </c>
      <c r="EH8" s="286" t="s">
        <v>135</v>
      </c>
      <c r="EI8" s="281" t="s">
        <v>136</v>
      </c>
      <c r="EJ8" s="325" t="s">
        <v>7</v>
      </c>
      <c r="EK8" s="325" t="s">
        <v>137</v>
      </c>
      <c r="EL8" s="325" t="s">
        <v>9</v>
      </c>
    </row>
    <row r="9" spans="2:138" ht="12.75">
      <c r="B9" s="304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T9" s="18"/>
      <c r="U9" s="18"/>
      <c r="V9" s="18"/>
      <c r="W9" s="1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8"/>
      <c r="BL9" s="320"/>
      <c r="BO9" s="320"/>
      <c r="BR9" s="242"/>
      <c r="BS9" s="242"/>
      <c r="BT9" s="242"/>
      <c r="BU9" s="242"/>
      <c r="BV9" s="242"/>
      <c r="CI9" s="242"/>
      <c r="CJ9" s="242"/>
      <c r="CK9" s="242"/>
      <c r="CL9" s="242"/>
      <c r="CM9" s="242"/>
      <c r="CZ9" s="242"/>
      <c r="DA9" s="346"/>
      <c r="DB9" s="242"/>
      <c r="DC9" s="242"/>
      <c r="DD9" s="242"/>
      <c r="DE9" s="331"/>
      <c r="DF9" s="331"/>
      <c r="DG9" s="331"/>
      <c r="DH9" s="331"/>
      <c r="DI9" s="331"/>
      <c r="DJ9" s="332"/>
      <c r="DN9">
        <f>SUM(DN12,DN18,DN33,DN38)</f>
        <v>26561.9</v>
      </c>
      <c r="DO9">
        <f>SUM(DO12,DO18,DO33,DO38)</f>
        <v>25199</v>
      </c>
      <c r="DX9"/>
      <c r="DY9"/>
      <c r="DZ9"/>
      <c r="EE9" s="352"/>
      <c r="EH9" s="343"/>
    </row>
    <row r="10" spans="1:142" s="322" customFormat="1" ht="12.75">
      <c r="A10" s="273" t="s">
        <v>20</v>
      </c>
      <c r="B10" s="123">
        <f>B12+B18+B33+B38</f>
        <v>171108.9</v>
      </c>
      <c r="C10" s="123">
        <f>G10+H10+I10</f>
        <v>35058</v>
      </c>
      <c r="D10" s="123">
        <f>J10+K10+L10</f>
        <v>32384</v>
      </c>
      <c r="E10" s="123">
        <f>M10+N10+O10</f>
        <v>36088.5</v>
      </c>
      <c r="F10" s="123">
        <f>P10+Q10+R10</f>
        <v>67578.4</v>
      </c>
      <c r="G10" s="123">
        <f aca="true" t="shared" si="0" ref="G10:R10">G12+G18+G33+G38</f>
        <v>10999.2</v>
      </c>
      <c r="H10" s="123">
        <f t="shared" si="0"/>
        <v>12842.2</v>
      </c>
      <c r="I10" s="123">
        <f t="shared" si="0"/>
        <v>11216.6</v>
      </c>
      <c r="J10" s="123">
        <f t="shared" si="0"/>
        <v>10562.1</v>
      </c>
      <c r="K10" s="123">
        <f t="shared" si="0"/>
        <v>10185.9</v>
      </c>
      <c r="L10" s="123">
        <f t="shared" si="0"/>
        <v>11636</v>
      </c>
      <c r="M10" s="123">
        <f t="shared" si="0"/>
        <v>10561.2</v>
      </c>
      <c r="N10" s="123">
        <f t="shared" si="0"/>
        <v>10892.5</v>
      </c>
      <c r="O10" s="123">
        <f t="shared" si="0"/>
        <v>14634.8</v>
      </c>
      <c r="P10" s="123">
        <f t="shared" si="0"/>
        <v>18608.3</v>
      </c>
      <c r="Q10" s="123">
        <f t="shared" si="0"/>
        <v>23060</v>
      </c>
      <c r="R10" s="123">
        <f t="shared" si="0"/>
        <v>25910.1</v>
      </c>
      <c r="S10" s="220">
        <v>181026.7</v>
      </c>
      <c r="T10" s="123">
        <f>X10+Y10+Z10</f>
        <v>52204.2</v>
      </c>
      <c r="U10" s="123">
        <f>AA10+AB10+AC10</f>
        <v>40545.5</v>
      </c>
      <c r="V10" s="123">
        <f>AD10+AE10+AF10</f>
        <v>38637.6</v>
      </c>
      <c r="W10" s="125">
        <f>AG10+AH10+AI10</f>
        <v>49639.2</v>
      </c>
      <c r="X10" s="123">
        <v>18503.6</v>
      </c>
      <c r="Y10" s="123">
        <v>16902.4</v>
      </c>
      <c r="Z10" s="123">
        <v>16798.2</v>
      </c>
      <c r="AA10" s="123">
        <v>13961.8</v>
      </c>
      <c r="AB10" s="123">
        <v>13307.4</v>
      </c>
      <c r="AC10" s="123">
        <v>13276.3</v>
      </c>
      <c r="AD10" s="123">
        <v>13228.9</v>
      </c>
      <c r="AE10" s="123">
        <v>13340.2</v>
      </c>
      <c r="AF10" s="123">
        <v>12068.5</v>
      </c>
      <c r="AG10" s="123">
        <v>14516.6</v>
      </c>
      <c r="AH10" s="123">
        <v>18157.3</v>
      </c>
      <c r="AI10" s="123">
        <v>16965.3</v>
      </c>
      <c r="AJ10" s="125">
        <f>SUM(AK10:AN10)</f>
        <v>204776.1</v>
      </c>
      <c r="AK10" s="123">
        <f>AO10+AP10+AQ10</f>
        <v>39488.8</v>
      </c>
      <c r="AL10" s="123">
        <f>AR10+AS10+AT10</f>
        <v>39512.2</v>
      </c>
      <c r="AM10" s="123">
        <f>AU10+AV10+AW10</f>
        <v>56512.4</v>
      </c>
      <c r="AN10" s="123">
        <f>AX10+AY10+AZ10</f>
        <v>69262.7</v>
      </c>
      <c r="AO10" s="123">
        <v>12317.8</v>
      </c>
      <c r="AP10" s="123">
        <v>14333.2</v>
      </c>
      <c r="AQ10" s="123">
        <v>12837.8</v>
      </c>
      <c r="AR10" s="296">
        <v>11428</v>
      </c>
      <c r="AS10" s="123">
        <v>13037.6</v>
      </c>
      <c r="AT10" s="123">
        <v>15046.6</v>
      </c>
      <c r="AU10" s="123">
        <v>15872.8</v>
      </c>
      <c r="AV10" s="123">
        <v>18882.2</v>
      </c>
      <c r="AW10" s="123">
        <v>21757.4</v>
      </c>
      <c r="AX10" s="123">
        <v>19605.4</v>
      </c>
      <c r="AY10" s="123">
        <v>22741.8</v>
      </c>
      <c r="AZ10" s="123">
        <v>26915.5</v>
      </c>
      <c r="BA10" s="257">
        <f>SUM(BB10:BE10)</f>
        <v>231187.7</v>
      </c>
      <c r="BB10" s="257">
        <f>SUM(BF10:BH10)</f>
        <v>51972</v>
      </c>
      <c r="BC10" s="257">
        <f>SUM(BI10:BK10)</f>
        <v>52656.9</v>
      </c>
      <c r="BD10" s="257">
        <f>SUM(BL10:BN10)</f>
        <v>56292.2</v>
      </c>
      <c r="BE10" s="257">
        <f>SUM(BO10:BQ10)</f>
        <v>70266.6</v>
      </c>
      <c r="BF10" s="123">
        <v>14854.6</v>
      </c>
      <c r="BG10" s="123">
        <v>14576</v>
      </c>
      <c r="BH10" s="123">
        <v>22541.4</v>
      </c>
      <c r="BI10" s="123">
        <v>16320.8</v>
      </c>
      <c r="BJ10" s="123">
        <v>17568.6</v>
      </c>
      <c r="BK10" s="123">
        <v>18767.5</v>
      </c>
      <c r="BL10" s="316">
        <v>20119.2</v>
      </c>
      <c r="BM10" s="123">
        <v>19370.5</v>
      </c>
      <c r="BN10" s="123">
        <v>16802.5</v>
      </c>
      <c r="BO10" s="316">
        <v>18072.8</v>
      </c>
      <c r="BP10" s="123">
        <v>25086.5</v>
      </c>
      <c r="BQ10" s="123">
        <v>27107.3</v>
      </c>
      <c r="BR10" s="257">
        <f>SUM(BS10:BV10)</f>
        <v>250640</v>
      </c>
      <c r="BS10" s="257">
        <f>SUM(BW10:BY10)</f>
        <v>56806.9</v>
      </c>
      <c r="BT10" s="257">
        <f>SUM(BZ10:CB10)</f>
        <v>51744.6</v>
      </c>
      <c r="BU10" s="257">
        <f>SUM(CC10:CE10)</f>
        <v>58489.2</v>
      </c>
      <c r="BV10" s="257">
        <f>SUM(CF10:CH10)</f>
        <v>83599.3</v>
      </c>
      <c r="BW10" s="123">
        <v>18492.1</v>
      </c>
      <c r="BX10" s="123">
        <v>17379.7</v>
      </c>
      <c r="BY10" s="123">
        <v>20935.1</v>
      </c>
      <c r="BZ10" s="123">
        <v>17679.3</v>
      </c>
      <c r="CA10" s="123">
        <v>16522.9</v>
      </c>
      <c r="CB10" s="123">
        <v>17542.4</v>
      </c>
      <c r="CC10" s="123">
        <v>18140.4</v>
      </c>
      <c r="CD10" s="123">
        <v>19053.2</v>
      </c>
      <c r="CE10" s="123">
        <v>21295.6</v>
      </c>
      <c r="CF10" s="123">
        <v>22430.8</v>
      </c>
      <c r="CG10" s="316">
        <v>31539.6</v>
      </c>
      <c r="CH10" s="123">
        <v>29628.9</v>
      </c>
      <c r="CI10" s="257">
        <v>278565</v>
      </c>
      <c r="CJ10" s="342">
        <f>SUM(CN10:CP10)</f>
        <v>63714.9</v>
      </c>
      <c r="CK10" s="342">
        <f>SUM(CQ10:CS10)</f>
        <v>64026.1</v>
      </c>
      <c r="CL10" s="342">
        <f>SUM(CT10:CV10)</f>
        <v>68915</v>
      </c>
      <c r="CM10" s="342">
        <f>SUM(CW10:CY10)</f>
        <v>81909</v>
      </c>
      <c r="CN10" s="326">
        <v>19217.9</v>
      </c>
      <c r="CO10" s="326">
        <v>18595.9</v>
      </c>
      <c r="CP10" s="326">
        <v>25901.1</v>
      </c>
      <c r="CQ10" s="326">
        <v>20403.4</v>
      </c>
      <c r="CR10" s="327">
        <v>20045.5</v>
      </c>
      <c r="CS10" s="327">
        <v>23577.2</v>
      </c>
      <c r="CT10" s="326">
        <v>22664.3</v>
      </c>
      <c r="CU10" s="326">
        <v>19213.6</v>
      </c>
      <c r="CV10" s="326">
        <v>27037.1</v>
      </c>
      <c r="CW10" s="326">
        <v>26655.9</v>
      </c>
      <c r="CX10" s="326">
        <v>26867.7</v>
      </c>
      <c r="CY10" s="326">
        <v>28385.4</v>
      </c>
      <c r="CZ10" s="257">
        <f>DA10+DB10+DC10+DD10</f>
        <v>319380.2</v>
      </c>
      <c r="DA10" s="342">
        <f>DE10+DF10+DG10</f>
        <v>75077.5</v>
      </c>
      <c r="DB10" s="342">
        <f>DH10+DI10+DJ10</f>
        <v>78702.2</v>
      </c>
      <c r="DC10" s="342">
        <f>DK10+DL10+DM10</f>
        <v>84642.3</v>
      </c>
      <c r="DD10" s="342">
        <f>DN10+DO10+DP10</f>
        <v>80958.2</v>
      </c>
      <c r="DE10" s="326">
        <v>21541.1</v>
      </c>
      <c r="DF10" s="326">
        <v>24845.6</v>
      </c>
      <c r="DG10" s="326">
        <v>28690.8</v>
      </c>
      <c r="DH10" s="326">
        <v>23489</v>
      </c>
      <c r="DI10" s="327">
        <v>25287.6</v>
      </c>
      <c r="DJ10" s="327">
        <v>29925.6</v>
      </c>
      <c r="DK10" s="326">
        <v>26257.6</v>
      </c>
      <c r="DL10" s="326">
        <v>25711.7</v>
      </c>
      <c r="DM10" s="326">
        <v>32673</v>
      </c>
      <c r="DN10" s="326">
        <v>26561.9</v>
      </c>
      <c r="DO10" s="326">
        <v>25199</v>
      </c>
      <c r="DP10" s="326">
        <v>29197.3</v>
      </c>
      <c r="DQ10" s="356">
        <v>357176.5</v>
      </c>
      <c r="DR10" s="327">
        <f>SUM(DV10:DX10)</f>
        <v>73004.9</v>
      </c>
      <c r="DS10" s="327">
        <f>SUM(DY10:EA10)</f>
        <v>81022.7</v>
      </c>
      <c r="DT10" s="327">
        <f>SUM(EB10:ED10)</f>
        <v>79383.2</v>
      </c>
      <c r="DU10" s="327">
        <f>SUM(EE10:EG10)</f>
        <v>121636.9</v>
      </c>
      <c r="DV10" s="327">
        <v>21796</v>
      </c>
      <c r="DW10" s="342">
        <v>23360.6</v>
      </c>
      <c r="DX10" s="342">
        <v>27848.3</v>
      </c>
      <c r="DY10" s="342">
        <v>25661</v>
      </c>
      <c r="DZ10" s="342">
        <v>27952.7</v>
      </c>
      <c r="EA10" s="342">
        <v>27409</v>
      </c>
      <c r="EB10" s="342">
        <v>21179.8</v>
      </c>
      <c r="EC10" s="342">
        <v>30366.9</v>
      </c>
      <c r="ED10" s="342">
        <v>27836.5</v>
      </c>
      <c r="EE10" s="342">
        <v>40882.4</v>
      </c>
      <c r="EF10" s="342">
        <v>36236.9</v>
      </c>
      <c r="EG10" s="342">
        <v>44517.6</v>
      </c>
      <c r="EH10" s="342">
        <v>22766.4</v>
      </c>
      <c r="EI10" s="342">
        <v>24519.4</v>
      </c>
      <c r="EJ10" s="342">
        <v>28231.8</v>
      </c>
      <c r="EK10" s="371">
        <v>35505.1</v>
      </c>
      <c r="EL10" s="383">
        <v>34492.4</v>
      </c>
    </row>
    <row r="11" spans="1:142" ht="12.75">
      <c r="A11" s="351"/>
      <c r="B11" s="294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34"/>
      <c r="S11" s="220"/>
      <c r="T11" s="123"/>
      <c r="U11" s="123"/>
      <c r="V11" s="123"/>
      <c r="W11" s="134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34"/>
      <c r="AK11" s="123"/>
      <c r="AL11" s="123"/>
      <c r="AM11" s="283"/>
      <c r="AN11" s="283">
        <f aca="true" t="shared" si="1" ref="AN11:AN42">AX11+AY11+AZ11</f>
        <v>0</v>
      </c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92"/>
      <c r="BB11" s="192"/>
      <c r="BC11" s="192"/>
      <c r="BD11" s="192"/>
      <c r="BE11" s="192"/>
      <c r="BF11" s="123"/>
      <c r="BG11" s="123"/>
      <c r="BH11" s="123"/>
      <c r="BI11" s="123"/>
      <c r="BJ11" s="123"/>
      <c r="BK11" s="123"/>
      <c r="BL11" s="316"/>
      <c r="BM11" s="123"/>
      <c r="BN11" s="123"/>
      <c r="BO11" s="316"/>
      <c r="BP11" s="123"/>
      <c r="BQ11" s="123"/>
      <c r="BR11" s="192"/>
      <c r="BS11" s="192"/>
      <c r="BT11" s="192"/>
      <c r="BU11" s="192"/>
      <c r="BV11" s="192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92"/>
      <c r="CJ11" s="343"/>
      <c r="CK11" s="343"/>
      <c r="CL11" s="343"/>
      <c r="CM11" s="343"/>
      <c r="CN11" s="326"/>
      <c r="CO11" s="326"/>
      <c r="CP11" s="326"/>
      <c r="CQ11" s="326"/>
      <c r="CR11" s="326"/>
      <c r="CS11" s="326"/>
      <c r="CT11" s="326"/>
      <c r="CU11" s="326"/>
      <c r="CV11" s="326"/>
      <c r="CW11" s="326"/>
      <c r="CX11" s="326"/>
      <c r="CY11" s="326"/>
      <c r="CZ11" s="257"/>
      <c r="DA11" s="343">
        <f aca="true" t="shared" si="2" ref="DA11:DA42">DE11+DF11+DG11</f>
        <v>1423.3</v>
      </c>
      <c r="DB11" s="342">
        <f aca="true" t="shared" si="3" ref="DB11:DB42">DH11+DI11+DJ11</f>
        <v>0</v>
      </c>
      <c r="DC11" s="342">
        <f aca="true" t="shared" si="4" ref="DC11:DC42">DK11+DL11+DM11</f>
        <v>0</v>
      </c>
      <c r="DD11" s="342">
        <f aca="true" t="shared" si="5" ref="DD11:DD42">DN11+DO11+DP11</f>
        <v>0</v>
      </c>
      <c r="DE11" s="326"/>
      <c r="DF11">
        <f>SUM(DF14,DF20,DF35,DF40)</f>
        <v>1423.3</v>
      </c>
      <c r="DG11" s="326"/>
      <c r="DH11" s="326"/>
      <c r="DI11" s="326"/>
      <c r="DJ11" s="326"/>
      <c r="DK11" s="326"/>
      <c r="DL11" s="326"/>
      <c r="DM11" s="326"/>
      <c r="DN11" s="326"/>
      <c r="DO11" s="326"/>
      <c r="DP11" s="326"/>
      <c r="DQ11" s="356"/>
      <c r="DR11" s="332"/>
      <c r="DS11" s="327"/>
      <c r="DT11" s="327"/>
      <c r="DU11" s="327"/>
      <c r="DV11" s="327"/>
      <c r="DW11" s="343"/>
      <c r="DZ11" s="342"/>
      <c r="EA11" s="343"/>
      <c r="EB11" s="343"/>
      <c r="EC11" s="343"/>
      <c r="ED11" s="343"/>
      <c r="EE11" s="343"/>
      <c r="EF11" s="342"/>
      <c r="EG11" s="343"/>
      <c r="EH11" s="343"/>
      <c r="EI11" s="343"/>
      <c r="EJ11" s="343"/>
      <c r="EK11" s="369"/>
      <c r="EL11" s="369"/>
    </row>
    <row r="12" spans="1:142" s="322" customFormat="1" ht="12.75">
      <c r="A12" s="274" t="s">
        <v>106</v>
      </c>
      <c r="B12" s="294">
        <f>SUM(G12:R12)</f>
        <v>5596.5</v>
      </c>
      <c r="C12" s="294">
        <f>G12+H12+I12</f>
        <v>850.2</v>
      </c>
      <c r="D12" s="294">
        <f>J12+K12+L12</f>
        <v>1085.2</v>
      </c>
      <c r="E12" s="294">
        <f>M12+N12+O12</f>
        <v>1600.6</v>
      </c>
      <c r="F12" s="294">
        <f>P12+Q12+R12</f>
        <v>2060.5</v>
      </c>
      <c r="G12" s="123">
        <v>296.4</v>
      </c>
      <c r="H12" s="123">
        <v>267.8</v>
      </c>
      <c r="I12" s="123">
        <v>286</v>
      </c>
      <c r="J12" s="123">
        <v>412</v>
      </c>
      <c r="K12" s="123">
        <v>366</v>
      </c>
      <c r="L12" s="123">
        <v>307.2</v>
      </c>
      <c r="M12" s="123">
        <v>433.3</v>
      </c>
      <c r="N12" s="123">
        <v>480.7</v>
      </c>
      <c r="O12" s="123">
        <v>686.6</v>
      </c>
      <c r="P12" s="123">
        <v>604.8</v>
      </c>
      <c r="Q12" s="123">
        <v>647.6</v>
      </c>
      <c r="R12" s="125">
        <v>808.1</v>
      </c>
      <c r="S12" s="220">
        <v>7913.8</v>
      </c>
      <c r="T12" s="123">
        <f aca="true" t="shared" si="6" ref="T12:T42">X12+Y12+Z12</f>
        <v>1862.2</v>
      </c>
      <c r="U12" s="123">
        <f aca="true" t="shared" si="7" ref="U12:U42">AA12+AB12+AC12</f>
        <v>1907.8</v>
      </c>
      <c r="V12" s="123">
        <f aca="true" t="shared" si="8" ref="V12:V42">AD12+AE12+AF12</f>
        <v>2076</v>
      </c>
      <c r="W12" s="125">
        <f aca="true" t="shared" si="9" ref="W12:W42">AG12+AH12+AI12</f>
        <v>2067.8</v>
      </c>
      <c r="X12" s="123">
        <v>879.4</v>
      </c>
      <c r="Y12" s="123">
        <v>279.7</v>
      </c>
      <c r="Z12" s="123">
        <v>703.1</v>
      </c>
      <c r="AA12" s="123">
        <v>484.1</v>
      </c>
      <c r="AB12" s="123">
        <v>646.9</v>
      </c>
      <c r="AC12" s="123">
        <v>776.8</v>
      </c>
      <c r="AD12" s="123">
        <v>521</v>
      </c>
      <c r="AE12" s="123">
        <v>762.5</v>
      </c>
      <c r="AF12" s="123">
        <v>792.5</v>
      </c>
      <c r="AG12" s="123">
        <v>529.3</v>
      </c>
      <c r="AH12" s="123">
        <v>765.8</v>
      </c>
      <c r="AI12" s="123">
        <v>772.7</v>
      </c>
      <c r="AJ12" s="125">
        <f aca="true" t="shared" si="10" ref="AJ12:AJ42">SUM(AK12:AN12)</f>
        <v>10663.8</v>
      </c>
      <c r="AK12" s="123">
        <f aca="true" t="shared" si="11" ref="AK12:AK42">AO12+AP12+AQ12</f>
        <v>1839.3</v>
      </c>
      <c r="AL12" s="123">
        <f aca="true" t="shared" si="12" ref="AL12:AL42">AR12+AS12+AT12</f>
        <v>1936.3</v>
      </c>
      <c r="AM12" s="123">
        <f>AU12+AV12+AW12</f>
        <v>3734.9</v>
      </c>
      <c r="AN12" s="123">
        <f t="shared" si="1"/>
        <v>3153.3</v>
      </c>
      <c r="AO12" s="123">
        <v>425.6</v>
      </c>
      <c r="AP12" s="123">
        <v>682.1</v>
      </c>
      <c r="AQ12" s="123">
        <v>731.6</v>
      </c>
      <c r="AR12" s="123">
        <v>612.2</v>
      </c>
      <c r="AS12" s="123">
        <v>629.8</v>
      </c>
      <c r="AT12" s="123">
        <v>694.3</v>
      </c>
      <c r="AU12" s="123">
        <v>861.5</v>
      </c>
      <c r="AV12" s="123">
        <v>792.1</v>
      </c>
      <c r="AW12" s="123">
        <v>2081.3</v>
      </c>
      <c r="AX12" s="123">
        <v>924.7</v>
      </c>
      <c r="AY12" s="123">
        <v>1021.9</v>
      </c>
      <c r="AZ12" s="123">
        <v>1206.7</v>
      </c>
      <c r="BA12" s="257">
        <f>SUM(BB12:BE12)</f>
        <v>17906.8</v>
      </c>
      <c r="BB12" s="257">
        <f aca="true" t="shared" si="13" ref="BB12:BB42">SUM(BF12:BH12)</f>
        <v>2927</v>
      </c>
      <c r="BC12" s="257">
        <f aca="true" t="shared" si="14" ref="BC12:BC42">SUM(BI12:BK12)</f>
        <v>5323.8</v>
      </c>
      <c r="BD12" s="257">
        <f aca="true" t="shared" si="15" ref="BD12:BD42">SUM(BL12:BN12)</f>
        <v>4272.1</v>
      </c>
      <c r="BE12" s="257">
        <f aca="true" t="shared" si="16" ref="BE12:BE42">SUM(BO12:BQ12)</f>
        <v>5383.9</v>
      </c>
      <c r="BF12" s="257">
        <f>SUM(BF13:BF16)</f>
        <v>1323.8</v>
      </c>
      <c r="BG12" s="257">
        <f aca="true" t="shared" si="17" ref="BG12:BQ12">SUM(BG13:BG16)</f>
        <v>931.1</v>
      </c>
      <c r="BH12" s="257">
        <f t="shared" si="17"/>
        <v>672.1</v>
      </c>
      <c r="BI12" s="257">
        <f t="shared" si="17"/>
        <v>1267.4</v>
      </c>
      <c r="BJ12" s="257">
        <f t="shared" si="17"/>
        <v>2010.9</v>
      </c>
      <c r="BK12" s="257">
        <f t="shared" si="17"/>
        <v>2045.5</v>
      </c>
      <c r="BL12" s="257">
        <f t="shared" si="17"/>
        <v>1160.7</v>
      </c>
      <c r="BM12" s="257">
        <f t="shared" si="17"/>
        <v>1338.1</v>
      </c>
      <c r="BN12" s="257">
        <f t="shared" si="17"/>
        <v>1773.3</v>
      </c>
      <c r="BO12" s="257">
        <f t="shared" si="17"/>
        <v>1376.3</v>
      </c>
      <c r="BP12" s="257">
        <f t="shared" si="17"/>
        <v>1817.3</v>
      </c>
      <c r="BQ12" s="257">
        <f t="shared" si="17"/>
        <v>2190.3</v>
      </c>
      <c r="BR12" s="257">
        <f>SUM(BS12:BV12)</f>
        <v>19812</v>
      </c>
      <c r="BS12" s="257">
        <f>SUM(BW12:BY12)</f>
        <v>3792.3</v>
      </c>
      <c r="BT12" s="257">
        <f>SUM(BZ12:CB12)</f>
        <v>3777.4</v>
      </c>
      <c r="BU12" s="257">
        <f>SUM(CC12:CE12)</f>
        <v>6236.3</v>
      </c>
      <c r="BV12" s="257">
        <f>SUM(CF12:CH12)</f>
        <v>6006</v>
      </c>
      <c r="BW12" s="123">
        <v>1574</v>
      </c>
      <c r="BX12" s="123">
        <v>1215.1</v>
      </c>
      <c r="BY12" s="123">
        <v>1003.2</v>
      </c>
      <c r="BZ12" s="123">
        <v>1309.1</v>
      </c>
      <c r="CA12" s="123">
        <v>1456</v>
      </c>
      <c r="CB12" s="123">
        <v>1012.3</v>
      </c>
      <c r="CC12" s="123">
        <v>1363.1</v>
      </c>
      <c r="CD12" s="123">
        <v>2831.7</v>
      </c>
      <c r="CE12" s="123">
        <v>2041.5</v>
      </c>
      <c r="CF12" s="123">
        <v>1671</v>
      </c>
      <c r="CG12" s="123">
        <v>1926.1</v>
      </c>
      <c r="CH12" s="123">
        <v>2408.9</v>
      </c>
      <c r="CI12" s="257">
        <v>19872.1</v>
      </c>
      <c r="CJ12" s="342">
        <f>SUM(CN12:CP12)</f>
        <v>3546.7</v>
      </c>
      <c r="CK12" s="342">
        <f>SUM(CQ12:CS12)</f>
        <v>3358.6</v>
      </c>
      <c r="CL12" s="342">
        <f>SUM(CT12:CV12)</f>
        <v>6168.6</v>
      </c>
      <c r="CM12" s="342">
        <f>SUM(CW12:CY12)</f>
        <v>6798.2</v>
      </c>
      <c r="CN12" s="326">
        <v>1335.1</v>
      </c>
      <c r="CO12" s="326">
        <v>1024.3</v>
      </c>
      <c r="CP12" s="326">
        <v>1187.3</v>
      </c>
      <c r="CQ12" s="326">
        <v>895</v>
      </c>
      <c r="CR12" s="327">
        <v>972.2</v>
      </c>
      <c r="CS12" s="327">
        <v>1491.4</v>
      </c>
      <c r="CT12" s="326">
        <v>2119.1</v>
      </c>
      <c r="CU12" s="326">
        <v>1710.1</v>
      </c>
      <c r="CV12" s="326">
        <v>2339.4</v>
      </c>
      <c r="CW12" s="326">
        <v>2213.4</v>
      </c>
      <c r="CX12" s="326">
        <v>2428.6</v>
      </c>
      <c r="CY12" s="326">
        <v>2156.2</v>
      </c>
      <c r="CZ12" s="257">
        <f aca="true" t="shared" si="18" ref="CZ12:CZ42">DA12+DB12+DC12+DD12</f>
        <v>17876.8</v>
      </c>
      <c r="DA12" s="342">
        <f t="shared" si="2"/>
        <v>4632.1</v>
      </c>
      <c r="DB12" s="342">
        <f t="shared" si="3"/>
        <v>3596.4</v>
      </c>
      <c r="DC12" s="342">
        <f t="shared" si="4"/>
        <v>4779.5</v>
      </c>
      <c r="DD12" s="342">
        <f t="shared" si="5"/>
        <v>4868.8</v>
      </c>
      <c r="DE12" s="326">
        <v>1756.6</v>
      </c>
      <c r="DF12" s="326">
        <v>1605.4</v>
      </c>
      <c r="DG12" s="326">
        <v>1270.1</v>
      </c>
      <c r="DH12" s="326">
        <v>841.7</v>
      </c>
      <c r="DI12" s="327">
        <v>1447.4</v>
      </c>
      <c r="DJ12" s="327">
        <v>1307.3</v>
      </c>
      <c r="DK12" s="326">
        <v>1277.8</v>
      </c>
      <c r="DL12" s="326">
        <v>1554.9</v>
      </c>
      <c r="DM12" s="326">
        <v>1946.8</v>
      </c>
      <c r="DN12" s="326">
        <v>1594.8</v>
      </c>
      <c r="DO12" s="326">
        <v>1394</v>
      </c>
      <c r="DP12" s="326">
        <v>1880</v>
      </c>
      <c r="DQ12" s="356">
        <v>32798.5</v>
      </c>
      <c r="DR12" s="327">
        <f aca="true" t="shared" si="19" ref="DR12:DR42">SUM(DV12:DX12)</f>
        <v>4414.6</v>
      </c>
      <c r="DS12" s="327">
        <f aca="true" t="shared" si="20" ref="DS12:DS42">SUM(DY12:EA12)</f>
        <v>6921.7</v>
      </c>
      <c r="DT12" s="327">
        <f aca="true" t="shared" si="21" ref="DT12:DT42">SUM(EB12:ED12)</f>
        <v>7821.1</v>
      </c>
      <c r="DU12" s="327">
        <f aca="true" t="shared" si="22" ref="DU12:DU42">SUM(EE12:EG12)</f>
        <v>11978.7</v>
      </c>
      <c r="DV12" s="327">
        <v>1440.3</v>
      </c>
      <c r="DW12" s="342">
        <v>1633.3</v>
      </c>
      <c r="DX12" s="342">
        <v>1341</v>
      </c>
      <c r="DY12" s="342">
        <v>2122.4</v>
      </c>
      <c r="DZ12" s="342">
        <v>2776.2</v>
      </c>
      <c r="EA12" s="342">
        <v>2023.1</v>
      </c>
      <c r="EB12" s="342">
        <v>2278.7</v>
      </c>
      <c r="EC12" s="342">
        <v>2968.3</v>
      </c>
      <c r="ED12" s="342">
        <v>2574.1</v>
      </c>
      <c r="EE12" s="342">
        <v>3279.2</v>
      </c>
      <c r="EF12" s="342">
        <v>2173.4</v>
      </c>
      <c r="EG12" s="342">
        <v>6526.1</v>
      </c>
      <c r="EH12" s="342">
        <v>3232.4</v>
      </c>
      <c r="EI12" s="342">
        <v>3422.1</v>
      </c>
      <c r="EJ12" s="342">
        <v>1314.3</v>
      </c>
      <c r="EK12" s="342">
        <v>3741.6</v>
      </c>
      <c r="EL12" s="342">
        <v>2914.1</v>
      </c>
    </row>
    <row r="13" spans="1:142" ht="12.75">
      <c r="A13" s="275" t="s">
        <v>107</v>
      </c>
      <c r="B13" s="294">
        <f>SUM(G13:R13)</f>
        <v>2147.1</v>
      </c>
      <c r="C13" s="134">
        <f>G13+H13+I13</f>
        <v>304.7</v>
      </c>
      <c r="D13" s="134">
        <f aca="true" t="shared" si="23" ref="D13:D42">J13+K13+L13</f>
        <v>321.2</v>
      </c>
      <c r="E13" s="134">
        <f aca="true" t="shared" si="24" ref="E13:E42">M13+N13+O13</f>
        <v>598.1</v>
      </c>
      <c r="F13" s="134">
        <f aca="true" t="shared" si="25" ref="F13:F42">P13+Q13+R13</f>
        <v>923.1</v>
      </c>
      <c r="G13" s="130">
        <v>134.4</v>
      </c>
      <c r="H13" s="127">
        <v>74.9</v>
      </c>
      <c r="I13" s="127">
        <v>95.4</v>
      </c>
      <c r="J13" s="134">
        <v>131.7</v>
      </c>
      <c r="K13" s="134">
        <v>105.3</v>
      </c>
      <c r="L13" s="134">
        <v>84.2</v>
      </c>
      <c r="M13" s="134">
        <v>117.8</v>
      </c>
      <c r="N13" s="134">
        <v>205.9</v>
      </c>
      <c r="O13" s="127">
        <v>274.4</v>
      </c>
      <c r="P13" s="134">
        <v>277.4</v>
      </c>
      <c r="Q13" s="127">
        <v>314.1</v>
      </c>
      <c r="R13" s="134">
        <v>331.6</v>
      </c>
      <c r="S13" s="181">
        <v>2195</v>
      </c>
      <c r="T13" s="134">
        <f t="shared" si="6"/>
        <v>491.5</v>
      </c>
      <c r="U13" s="134">
        <f t="shared" si="7"/>
        <v>341.1</v>
      </c>
      <c r="V13" s="134">
        <f t="shared" si="8"/>
        <v>553.9</v>
      </c>
      <c r="W13" s="134">
        <f t="shared" si="9"/>
        <v>808.5</v>
      </c>
      <c r="X13" s="127">
        <v>198.1</v>
      </c>
      <c r="Y13" s="127">
        <v>117.6</v>
      </c>
      <c r="Z13" s="127">
        <v>175.8</v>
      </c>
      <c r="AA13" s="134">
        <v>82.8</v>
      </c>
      <c r="AB13" s="134">
        <v>85.7</v>
      </c>
      <c r="AC13" s="134">
        <v>172.6</v>
      </c>
      <c r="AD13" s="134">
        <v>105.5</v>
      </c>
      <c r="AE13" s="134">
        <v>171.9</v>
      </c>
      <c r="AF13" s="127">
        <v>276.5</v>
      </c>
      <c r="AG13" s="134">
        <v>271.4</v>
      </c>
      <c r="AH13" s="127">
        <v>249.1</v>
      </c>
      <c r="AI13" s="127">
        <v>288</v>
      </c>
      <c r="AJ13" s="134">
        <f t="shared" si="10"/>
        <v>1959.7</v>
      </c>
      <c r="AK13" s="134">
        <f t="shared" si="11"/>
        <v>379.5</v>
      </c>
      <c r="AL13" s="134">
        <f t="shared" si="12"/>
        <v>268.7</v>
      </c>
      <c r="AM13" s="134">
        <f aca="true" t="shared" si="26" ref="AM13:AM42">AU13+AV13+AW13</f>
        <v>428.4</v>
      </c>
      <c r="AN13" s="134">
        <f t="shared" si="1"/>
        <v>883.1</v>
      </c>
      <c r="AO13" s="127">
        <v>135.6</v>
      </c>
      <c r="AP13" s="127">
        <v>140.1</v>
      </c>
      <c r="AQ13" s="127">
        <v>103.8</v>
      </c>
      <c r="AR13" s="127">
        <v>57.3</v>
      </c>
      <c r="AS13" s="127">
        <v>83.8</v>
      </c>
      <c r="AT13" s="127">
        <v>127.6</v>
      </c>
      <c r="AU13" s="127">
        <v>93.5</v>
      </c>
      <c r="AV13" s="127">
        <v>162.1</v>
      </c>
      <c r="AW13" s="127">
        <v>172.8</v>
      </c>
      <c r="AX13" s="127">
        <v>225.5</v>
      </c>
      <c r="AY13" s="127">
        <v>288.4</v>
      </c>
      <c r="AZ13" s="127">
        <v>369.2</v>
      </c>
      <c r="BA13" s="192">
        <f aca="true" t="shared" si="27" ref="BA13:BA42">SUM(BB13:BE13)</f>
        <v>2268.4</v>
      </c>
      <c r="BB13" s="192">
        <f t="shared" si="13"/>
        <v>393</v>
      </c>
      <c r="BC13" s="192">
        <f t="shared" si="14"/>
        <v>288.6</v>
      </c>
      <c r="BD13" s="192">
        <f t="shared" si="15"/>
        <v>559</v>
      </c>
      <c r="BE13" s="192">
        <f t="shared" si="16"/>
        <v>1027.8</v>
      </c>
      <c r="BF13" s="192">
        <f>162.6+1.6</f>
        <v>164.2</v>
      </c>
      <c r="BG13" s="192">
        <f>93+1.6</f>
        <v>94.6</v>
      </c>
      <c r="BH13" s="192">
        <f>132.6+1.6</f>
        <v>134.2</v>
      </c>
      <c r="BI13" s="192">
        <f>87.2+1.6</f>
        <v>88.8</v>
      </c>
      <c r="BJ13" s="192">
        <f>61.6+1.6</f>
        <v>63.2</v>
      </c>
      <c r="BK13" s="192">
        <f>135+1.6</f>
        <v>136.6</v>
      </c>
      <c r="BL13" s="192">
        <f>119.6+1.6</f>
        <v>121.2</v>
      </c>
      <c r="BM13" s="192">
        <f>141.2+1.6</f>
        <v>142.8</v>
      </c>
      <c r="BN13" s="192">
        <f>293.4+1.6</f>
        <v>295</v>
      </c>
      <c r="BO13" s="192">
        <f>286.4+1.6</f>
        <v>288</v>
      </c>
      <c r="BP13" s="192">
        <f>372.8+1.6</f>
        <v>374.4</v>
      </c>
      <c r="BQ13" s="192">
        <f>363.8+1.6</f>
        <v>365.4</v>
      </c>
      <c r="BR13" s="192">
        <f>SUM(BS13:BV13)</f>
        <v>2893.4</v>
      </c>
      <c r="BS13" s="192">
        <f>SUM(BW13:BY13)</f>
        <v>410.2</v>
      </c>
      <c r="BT13" s="192">
        <f>SUM(BZ13:CB13)</f>
        <v>265.9</v>
      </c>
      <c r="BU13" s="192">
        <f>SUM(CC13:CE13)</f>
        <v>793.2</v>
      </c>
      <c r="BV13" s="192">
        <f>SUM(CF13:CH13)</f>
        <v>1424.1</v>
      </c>
      <c r="BW13" s="127">
        <v>161.3</v>
      </c>
      <c r="BX13" s="127">
        <v>144.6</v>
      </c>
      <c r="BY13" s="127">
        <v>104.3</v>
      </c>
      <c r="BZ13" s="127">
        <v>81.6</v>
      </c>
      <c r="CA13" s="127">
        <v>73.2</v>
      </c>
      <c r="CB13" s="127">
        <v>111.1</v>
      </c>
      <c r="CC13" s="127">
        <v>169.1</v>
      </c>
      <c r="CD13" s="127">
        <v>260.9</v>
      </c>
      <c r="CE13" s="127">
        <v>363.2</v>
      </c>
      <c r="CF13" s="127">
        <v>378.3</v>
      </c>
      <c r="CG13" s="127">
        <v>527.1</v>
      </c>
      <c r="CH13" s="127">
        <v>518.7</v>
      </c>
      <c r="CI13" s="192">
        <v>3275.1</v>
      </c>
      <c r="CJ13" s="343">
        <f>SUM(CN13:CP13)</f>
        <v>666.4</v>
      </c>
      <c r="CK13" s="343">
        <f>SUM(CQ13:CS13)</f>
        <v>311.3</v>
      </c>
      <c r="CL13" s="343">
        <f>SUM(CT13:CV13)</f>
        <v>738.9</v>
      </c>
      <c r="CM13" s="343">
        <f>SUM(CW13:CY13)</f>
        <v>1558.3</v>
      </c>
      <c r="CN13" s="328">
        <v>296.2</v>
      </c>
      <c r="CO13" s="328">
        <v>196.1</v>
      </c>
      <c r="CP13" s="328">
        <v>174.1</v>
      </c>
      <c r="CQ13" s="328">
        <v>93.9</v>
      </c>
      <c r="CR13" s="332">
        <v>60.2</v>
      </c>
      <c r="CS13" s="332">
        <v>157.2</v>
      </c>
      <c r="CT13" s="328">
        <v>191.1</v>
      </c>
      <c r="CU13" s="328">
        <v>219.1</v>
      </c>
      <c r="CV13" s="328">
        <v>328.7</v>
      </c>
      <c r="CW13" s="328">
        <v>433.3</v>
      </c>
      <c r="CX13" s="328">
        <v>547.9</v>
      </c>
      <c r="CY13" s="328">
        <v>577.1</v>
      </c>
      <c r="CZ13" s="192">
        <f t="shared" si="18"/>
        <v>3380.2</v>
      </c>
      <c r="DA13" s="343">
        <f t="shared" si="2"/>
        <v>653.2</v>
      </c>
      <c r="DB13" s="343">
        <f t="shared" si="3"/>
        <v>367.4</v>
      </c>
      <c r="DC13" s="343">
        <f t="shared" si="4"/>
        <v>796.7</v>
      </c>
      <c r="DD13" s="343">
        <f t="shared" si="5"/>
        <v>1562.9</v>
      </c>
      <c r="DE13" s="328">
        <v>254.1</v>
      </c>
      <c r="DF13" s="332">
        <v>257.5</v>
      </c>
      <c r="DG13" s="328">
        <v>141.6</v>
      </c>
      <c r="DH13" s="328">
        <v>70.2</v>
      </c>
      <c r="DI13" s="332">
        <v>119.1</v>
      </c>
      <c r="DJ13" s="332">
        <v>178.1</v>
      </c>
      <c r="DK13" s="328">
        <v>111.1</v>
      </c>
      <c r="DL13" s="328">
        <v>295.9</v>
      </c>
      <c r="DM13" s="328">
        <v>389.7</v>
      </c>
      <c r="DN13" s="328">
        <v>506.7</v>
      </c>
      <c r="DO13" s="328">
        <v>432.6</v>
      </c>
      <c r="DP13" s="328">
        <v>623.6</v>
      </c>
      <c r="DQ13" s="344">
        <v>4261</v>
      </c>
      <c r="DR13" s="332">
        <f t="shared" si="19"/>
        <v>936.9</v>
      </c>
      <c r="DS13" s="332">
        <f t="shared" si="20"/>
        <v>632.9</v>
      </c>
      <c r="DT13" s="332">
        <f t="shared" si="21"/>
        <v>909.2</v>
      </c>
      <c r="DU13" s="332">
        <f t="shared" si="22"/>
        <v>1732.4</v>
      </c>
      <c r="DV13" s="359">
        <v>350.7</v>
      </c>
      <c r="DW13" s="332">
        <v>374</v>
      </c>
      <c r="DX13" s="332">
        <v>212.2</v>
      </c>
      <c r="DY13" s="343">
        <v>202.4</v>
      </c>
      <c r="DZ13" s="343">
        <v>215.2</v>
      </c>
      <c r="EA13" s="343">
        <v>215.3</v>
      </c>
      <c r="EB13" s="343">
        <v>256.2</v>
      </c>
      <c r="EC13" s="343">
        <v>288.5</v>
      </c>
      <c r="ED13" s="343">
        <v>364.5</v>
      </c>
      <c r="EE13" s="343">
        <v>607.4</v>
      </c>
      <c r="EF13" s="343">
        <v>546.6</v>
      </c>
      <c r="EG13" s="343">
        <v>578.4</v>
      </c>
      <c r="EH13" s="343">
        <v>382</v>
      </c>
      <c r="EI13" s="343">
        <v>442.7</v>
      </c>
      <c r="EJ13" s="343">
        <v>212.2</v>
      </c>
      <c r="EK13" s="343">
        <v>370.7</v>
      </c>
      <c r="EL13" s="343">
        <v>251.3</v>
      </c>
    </row>
    <row r="14" spans="1:142" ht="12.75">
      <c r="A14" s="275" t="s">
        <v>108</v>
      </c>
      <c r="B14" s="294">
        <f>SUM(G14:R14)</f>
        <v>2078.5</v>
      </c>
      <c r="C14" s="134">
        <f>G14+H14+I14</f>
        <v>444.6</v>
      </c>
      <c r="D14" s="134">
        <f t="shared" si="23"/>
        <v>531.5</v>
      </c>
      <c r="E14" s="134">
        <f t="shared" si="24"/>
        <v>582.1</v>
      </c>
      <c r="F14" s="134">
        <f t="shared" si="25"/>
        <v>520.3</v>
      </c>
      <c r="G14" s="130">
        <v>151.3</v>
      </c>
      <c r="H14" s="130">
        <v>118.1</v>
      </c>
      <c r="I14" s="130">
        <v>175.2</v>
      </c>
      <c r="J14" s="135">
        <v>111.3</v>
      </c>
      <c r="K14" s="135">
        <v>235.5</v>
      </c>
      <c r="L14" s="135">
        <v>184.7</v>
      </c>
      <c r="M14" s="135">
        <v>162</v>
      </c>
      <c r="N14" s="135">
        <v>216.5</v>
      </c>
      <c r="O14" s="130">
        <v>203.6</v>
      </c>
      <c r="P14" s="135">
        <v>118.1</v>
      </c>
      <c r="Q14" s="130">
        <v>190.1</v>
      </c>
      <c r="R14" s="135">
        <v>212.1</v>
      </c>
      <c r="S14" s="181">
        <v>2335.7</v>
      </c>
      <c r="T14" s="134">
        <f t="shared" si="6"/>
        <v>487.3</v>
      </c>
      <c r="U14" s="134">
        <f t="shared" si="7"/>
        <v>473.3</v>
      </c>
      <c r="V14" s="134">
        <f t="shared" si="8"/>
        <v>783.2</v>
      </c>
      <c r="W14" s="134">
        <f t="shared" si="9"/>
        <v>591.9</v>
      </c>
      <c r="X14" s="130">
        <v>187.8</v>
      </c>
      <c r="Y14" s="130">
        <v>114.7</v>
      </c>
      <c r="Z14" s="130">
        <v>184.8</v>
      </c>
      <c r="AA14" s="134">
        <v>171.8</v>
      </c>
      <c r="AB14" s="134">
        <v>147.7</v>
      </c>
      <c r="AC14" s="134">
        <v>153.8</v>
      </c>
      <c r="AD14" s="134">
        <v>93.3</v>
      </c>
      <c r="AE14" s="134">
        <v>369.6</v>
      </c>
      <c r="AF14" s="127">
        <v>320.3</v>
      </c>
      <c r="AG14" s="134">
        <v>113.6</v>
      </c>
      <c r="AH14" s="127">
        <v>209.4</v>
      </c>
      <c r="AI14" s="127">
        <v>268.9</v>
      </c>
      <c r="AJ14" s="134">
        <f t="shared" si="10"/>
        <v>2221.4</v>
      </c>
      <c r="AK14" s="134">
        <f t="shared" si="11"/>
        <v>494</v>
      </c>
      <c r="AL14" s="134">
        <f t="shared" si="12"/>
        <v>605.4</v>
      </c>
      <c r="AM14" s="134">
        <f t="shared" si="26"/>
        <v>536.1</v>
      </c>
      <c r="AN14" s="134">
        <f t="shared" si="1"/>
        <v>585.9</v>
      </c>
      <c r="AO14" s="127">
        <v>205.9</v>
      </c>
      <c r="AP14" s="127">
        <v>154</v>
      </c>
      <c r="AQ14" s="127">
        <v>134.1</v>
      </c>
      <c r="AR14" s="127">
        <v>212.3</v>
      </c>
      <c r="AS14" s="127">
        <v>215.6</v>
      </c>
      <c r="AT14" s="127">
        <v>177.5</v>
      </c>
      <c r="AU14" s="127">
        <v>202.7</v>
      </c>
      <c r="AV14" s="127">
        <v>144.6</v>
      </c>
      <c r="AW14" s="127">
        <v>188.8</v>
      </c>
      <c r="AX14" s="127">
        <v>161.6</v>
      </c>
      <c r="AY14" s="127">
        <v>245.3</v>
      </c>
      <c r="AZ14" s="127">
        <v>179</v>
      </c>
      <c r="BA14" s="192">
        <f t="shared" si="27"/>
        <v>3079.7</v>
      </c>
      <c r="BB14" s="192">
        <f t="shared" si="13"/>
        <v>510.9</v>
      </c>
      <c r="BC14" s="192">
        <f t="shared" si="14"/>
        <v>791.8</v>
      </c>
      <c r="BD14" s="192">
        <f t="shared" si="15"/>
        <v>852.8</v>
      </c>
      <c r="BE14" s="192">
        <f t="shared" si="16"/>
        <v>924.2</v>
      </c>
      <c r="BF14" s="192">
        <f>192.9+12.2</f>
        <v>205.1</v>
      </c>
      <c r="BG14" s="192">
        <f>122.4+12.2</f>
        <v>134.6</v>
      </c>
      <c r="BH14" s="192">
        <f>159+12.2</f>
        <v>171.2</v>
      </c>
      <c r="BI14" s="192">
        <f>195+12.2</f>
        <v>207.2</v>
      </c>
      <c r="BJ14" s="192">
        <f>253.7+12.2</f>
        <v>265.9</v>
      </c>
      <c r="BK14" s="192">
        <f>306.5+12.2</f>
        <v>318.7</v>
      </c>
      <c r="BL14" s="192">
        <f>243.3+12.2</f>
        <v>255.5</v>
      </c>
      <c r="BM14" s="192">
        <f>243.7+12.2</f>
        <v>255.9</v>
      </c>
      <c r="BN14" s="192">
        <f>329.2+12.2</f>
        <v>341.4</v>
      </c>
      <c r="BO14" s="192">
        <f>381.3+12.2</f>
        <v>393.5</v>
      </c>
      <c r="BP14" s="192">
        <f>299.7+12.2</f>
        <v>311.9</v>
      </c>
      <c r="BQ14" s="192">
        <f>206.6+12.2</f>
        <v>218.8</v>
      </c>
      <c r="BR14" s="192">
        <f>SUM(BS14:BV14)</f>
        <v>4102.4</v>
      </c>
      <c r="BS14" s="192">
        <f>SUM(BW14:BY14)</f>
        <v>896.3</v>
      </c>
      <c r="BT14" s="192">
        <f>SUM(BZ14:CB14)</f>
        <v>984.4</v>
      </c>
      <c r="BU14" s="192">
        <f>SUM(CC14:CE14)</f>
        <v>1139.1</v>
      </c>
      <c r="BV14" s="192">
        <f>SUM(CF14:CH14)</f>
        <v>1082.6</v>
      </c>
      <c r="BW14" s="127">
        <v>310.6</v>
      </c>
      <c r="BX14" s="127">
        <v>308.7</v>
      </c>
      <c r="BY14" s="127">
        <v>277</v>
      </c>
      <c r="BZ14" s="127">
        <v>298</v>
      </c>
      <c r="CA14" s="127">
        <v>431.5</v>
      </c>
      <c r="CB14" s="127">
        <v>254.9</v>
      </c>
      <c r="CC14" s="127">
        <v>360.7</v>
      </c>
      <c r="CD14" s="127">
        <v>409.4</v>
      </c>
      <c r="CE14" s="127">
        <v>369</v>
      </c>
      <c r="CF14" s="127">
        <v>386.1</v>
      </c>
      <c r="CG14" s="127">
        <v>358.4</v>
      </c>
      <c r="CH14" s="127">
        <v>338.1</v>
      </c>
      <c r="CI14" s="192">
        <v>4938</v>
      </c>
      <c r="CJ14" s="343">
        <f>SUM(CN14:CP14)</f>
        <v>974.7</v>
      </c>
      <c r="CK14" s="343">
        <f>SUM(CQ14:CS14)</f>
        <v>1048.9</v>
      </c>
      <c r="CL14" s="343">
        <f>SUM(CT14:CV14)</f>
        <v>1176.7</v>
      </c>
      <c r="CM14" s="343">
        <f>SUM(CW14:CY14)</f>
        <v>1737.7</v>
      </c>
      <c r="CN14" s="328">
        <v>312.2</v>
      </c>
      <c r="CO14" s="328">
        <v>322.5</v>
      </c>
      <c r="CP14" s="328">
        <v>340</v>
      </c>
      <c r="CQ14" s="328">
        <v>328.9</v>
      </c>
      <c r="CR14" s="332">
        <v>354.2</v>
      </c>
      <c r="CS14" s="332">
        <v>365.8</v>
      </c>
      <c r="CT14" s="328">
        <v>400.8</v>
      </c>
      <c r="CU14" s="328">
        <v>378.5</v>
      </c>
      <c r="CV14" s="328">
        <v>397.4</v>
      </c>
      <c r="CW14" s="328">
        <v>626.6</v>
      </c>
      <c r="CX14" s="328">
        <v>588.9</v>
      </c>
      <c r="CY14" s="328">
        <v>522.2</v>
      </c>
      <c r="CZ14" s="192">
        <f t="shared" si="18"/>
        <v>3804.5</v>
      </c>
      <c r="DA14" s="343">
        <f t="shared" si="2"/>
        <v>1180.3</v>
      </c>
      <c r="DB14" s="343">
        <f t="shared" si="3"/>
        <v>840.3</v>
      </c>
      <c r="DC14" s="343">
        <f t="shared" si="4"/>
        <v>689</v>
      </c>
      <c r="DD14" s="343">
        <f t="shared" si="5"/>
        <v>1094.9</v>
      </c>
      <c r="DE14" s="328">
        <v>404.9</v>
      </c>
      <c r="DF14" s="332">
        <v>377.3</v>
      </c>
      <c r="DG14" s="347">
        <v>398.1</v>
      </c>
      <c r="DH14" s="328">
        <v>221.7</v>
      </c>
      <c r="DI14" s="332">
        <v>273.3</v>
      </c>
      <c r="DJ14" s="332">
        <v>345.3</v>
      </c>
      <c r="DK14" s="328">
        <v>320.2</v>
      </c>
      <c r="DL14" s="328">
        <v>246.4</v>
      </c>
      <c r="DM14" s="328">
        <v>122.4</v>
      </c>
      <c r="DN14" s="328">
        <v>257</v>
      </c>
      <c r="DO14" s="328">
        <v>352.2</v>
      </c>
      <c r="DP14" s="328">
        <v>485.7</v>
      </c>
      <c r="DQ14" s="344">
        <v>7453.9</v>
      </c>
      <c r="DR14" s="332">
        <f t="shared" si="19"/>
        <v>1226.2</v>
      </c>
      <c r="DS14" s="332">
        <f t="shared" si="20"/>
        <v>1584.9</v>
      </c>
      <c r="DT14" s="332">
        <f t="shared" si="21"/>
        <v>1918.8</v>
      </c>
      <c r="DU14" s="332">
        <f t="shared" si="22"/>
        <v>2335.3</v>
      </c>
      <c r="DV14" s="359">
        <v>398.5</v>
      </c>
      <c r="DW14" s="332">
        <v>367</v>
      </c>
      <c r="DX14" s="332">
        <v>460.7</v>
      </c>
      <c r="DY14" s="343">
        <v>489.8</v>
      </c>
      <c r="DZ14" s="343">
        <v>525.7</v>
      </c>
      <c r="EA14" s="343">
        <v>569.4</v>
      </c>
      <c r="EB14" s="343">
        <v>596.9</v>
      </c>
      <c r="EC14" s="343">
        <v>638</v>
      </c>
      <c r="ED14" s="343">
        <v>683.9</v>
      </c>
      <c r="EE14" s="343">
        <v>795.6</v>
      </c>
      <c r="EF14" s="343">
        <v>767.7</v>
      </c>
      <c r="EG14" s="343">
        <v>772</v>
      </c>
      <c r="EH14" s="343">
        <v>710.3</v>
      </c>
      <c r="EI14" s="343">
        <v>592.1</v>
      </c>
      <c r="EJ14" s="343">
        <v>431.1625</v>
      </c>
      <c r="EK14" s="343">
        <v>622.2</v>
      </c>
      <c r="EL14" s="343">
        <v>766.6</v>
      </c>
    </row>
    <row r="15" spans="1:142" ht="12.75">
      <c r="A15" s="275" t="s">
        <v>109</v>
      </c>
      <c r="B15" s="294">
        <f>SUM(G15:R15)</f>
        <v>831.7</v>
      </c>
      <c r="C15" s="134">
        <f>G15+H15+I15</f>
        <v>59.4</v>
      </c>
      <c r="D15" s="134">
        <f t="shared" si="23"/>
        <v>146.6</v>
      </c>
      <c r="E15" s="134">
        <f t="shared" si="24"/>
        <v>266.1</v>
      </c>
      <c r="F15" s="134">
        <f t="shared" si="25"/>
        <v>359.6</v>
      </c>
      <c r="G15" s="130">
        <v>0</v>
      </c>
      <c r="H15" s="130">
        <v>59.4</v>
      </c>
      <c r="I15" s="130">
        <v>0</v>
      </c>
      <c r="J15" s="134">
        <v>146.6</v>
      </c>
      <c r="K15" s="134">
        <v>0</v>
      </c>
      <c r="L15" s="134">
        <v>0</v>
      </c>
      <c r="M15" s="134">
        <v>107.3</v>
      </c>
      <c r="N15" s="134">
        <v>7.9</v>
      </c>
      <c r="O15" s="127">
        <v>150.9</v>
      </c>
      <c r="P15" s="134">
        <v>127.2</v>
      </c>
      <c r="Q15" s="127">
        <v>55.1</v>
      </c>
      <c r="R15" s="134">
        <v>177.3</v>
      </c>
      <c r="S15" s="181">
        <v>2687.1</v>
      </c>
      <c r="T15" s="134">
        <f t="shared" si="6"/>
        <v>809.4</v>
      </c>
      <c r="U15" s="134">
        <f t="shared" si="7"/>
        <v>924.1</v>
      </c>
      <c r="V15" s="134">
        <f t="shared" si="8"/>
        <v>524.6</v>
      </c>
      <c r="W15" s="134">
        <f t="shared" si="9"/>
        <v>429</v>
      </c>
      <c r="X15" s="130">
        <v>475.2</v>
      </c>
      <c r="Y15" s="130">
        <v>25</v>
      </c>
      <c r="Z15" s="130">
        <v>309.2</v>
      </c>
      <c r="AA15" s="134">
        <v>181.6</v>
      </c>
      <c r="AB15" s="134">
        <v>374.6</v>
      </c>
      <c r="AC15" s="134">
        <v>367.9</v>
      </c>
      <c r="AD15" s="134">
        <v>258.1</v>
      </c>
      <c r="AE15" s="134">
        <v>152.6</v>
      </c>
      <c r="AF15" s="127">
        <v>113.9</v>
      </c>
      <c r="AG15" s="134">
        <v>67.3</v>
      </c>
      <c r="AH15" s="127">
        <v>222.3</v>
      </c>
      <c r="AI15" s="127">
        <v>139.4</v>
      </c>
      <c r="AJ15" s="134">
        <f t="shared" si="10"/>
        <v>5465.6</v>
      </c>
      <c r="AK15" s="134">
        <f t="shared" si="11"/>
        <v>804.9</v>
      </c>
      <c r="AL15" s="134">
        <f t="shared" si="12"/>
        <v>792</v>
      </c>
      <c r="AM15" s="134">
        <f t="shared" si="26"/>
        <v>2463.4</v>
      </c>
      <c r="AN15" s="134">
        <f t="shared" si="1"/>
        <v>1405.3</v>
      </c>
      <c r="AO15" s="127">
        <v>47.9</v>
      </c>
      <c r="AP15" s="127">
        <v>351.6</v>
      </c>
      <c r="AQ15" s="127">
        <v>405.4</v>
      </c>
      <c r="AR15" s="127">
        <v>271.2</v>
      </c>
      <c r="AS15" s="127">
        <v>250.5</v>
      </c>
      <c r="AT15" s="127">
        <v>270.3</v>
      </c>
      <c r="AU15" s="127">
        <v>471.4</v>
      </c>
      <c r="AV15" s="127">
        <v>378.6</v>
      </c>
      <c r="AW15" s="127">
        <v>1613.4</v>
      </c>
      <c r="AX15" s="127">
        <v>447.6</v>
      </c>
      <c r="AY15" s="127">
        <v>410.1</v>
      </c>
      <c r="AZ15" s="127">
        <v>547.6</v>
      </c>
      <c r="BA15" s="192">
        <f t="shared" si="27"/>
        <v>11946.5</v>
      </c>
      <c r="BB15" s="192">
        <f t="shared" si="13"/>
        <v>2003.5</v>
      </c>
      <c r="BC15" s="192">
        <f t="shared" si="14"/>
        <v>4132.7</v>
      </c>
      <c r="BD15" s="192">
        <f t="shared" si="15"/>
        <v>2660.6</v>
      </c>
      <c r="BE15" s="192">
        <f t="shared" si="16"/>
        <v>3149.7</v>
      </c>
      <c r="BF15" s="192">
        <f>950.9+3.2</f>
        <v>954.1</v>
      </c>
      <c r="BG15" s="192">
        <f>697.4+3.2</f>
        <v>700.6</v>
      </c>
      <c r="BH15" s="192">
        <f>345.6+3.2</f>
        <v>348.8</v>
      </c>
      <c r="BI15" s="192">
        <f>939.4+3.2</f>
        <v>942.6</v>
      </c>
      <c r="BJ15" s="192">
        <f>1639.2+3.2</f>
        <v>1642.4</v>
      </c>
      <c r="BK15" s="192">
        <f>1544.5+3.2</f>
        <v>1547.7</v>
      </c>
      <c r="BL15" s="192">
        <f>725+3.2</f>
        <v>728.2</v>
      </c>
      <c r="BM15" s="192">
        <f>866.8+3.2</f>
        <v>870</v>
      </c>
      <c r="BN15" s="192">
        <f>1059.2+3.2</f>
        <v>1062.4</v>
      </c>
      <c r="BO15" s="192">
        <f>603.4+3.2</f>
        <v>606.6</v>
      </c>
      <c r="BP15" s="192">
        <f>1010.5+3.2</f>
        <v>1013.7</v>
      </c>
      <c r="BQ15" s="192">
        <f>1526.2+3.2</f>
        <v>1529.4</v>
      </c>
      <c r="BR15" s="192">
        <f>SUM(BS15:BV15)</f>
        <v>11925.2</v>
      </c>
      <c r="BS15" s="192">
        <f>SUM(BW15:BY15)</f>
        <v>2376.7</v>
      </c>
      <c r="BT15" s="192">
        <f>SUM(BZ15:CB15)</f>
        <v>2301.9</v>
      </c>
      <c r="BU15" s="192">
        <f>SUM(CC15:CE15)</f>
        <v>4046.6</v>
      </c>
      <c r="BV15" s="192">
        <f>SUM(CF15:CH15)</f>
        <v>3200</v>
      </c>
      <c r="BW15" s="127">
        <v>1055.1</v>
      </c>
      <c r="BX15" s="127">
        <v>739.2</v>
      </c>
      <c r="BY15" s="127">
        <v>582.4</v>
      </c>
      <c r="BZ15" s="127">
        <v>873</v>
      </c>
      <c r="CA15" s="127">
        <v>882.6</v>
      </c>
      <c r="CB15" s="127">
        <v>546.3</v>
      </c>
      <c r="CC15" s="127">
        <v>746.8</v>
      </c>
      <c r="CD15" s="127">
        <v>2073.6</v>
      </c>
      <c r="CE15" s="127">
        <v>1226.2</v>
      </c>
      <c r="CF15" s="127">
        <v>814.3</v>
      </c>
      <c r="CG15" s="127">
        <v>939.3</v>
      </c>
      <c r="CH15" s="127">
        <v>1446.4</v>
      </c>
      <c r="CI15" s="192">
        <v>10643.9</v>
      </c>
      <c r="CJ15" s="343">
        <f>SUM(CN15:CP15)</f>
        <v>1781.7</v>
      </c>
      <c r="CK15" s="343">
        <f>SUM(CQ15:CS15)</f>
        <v>1747.2</v>
      </c>
      <c r="CL15" s="343">
        <f>SUM(CT15:CV15)</f>
        <v>3976.2</v>
      </c>
      <c r="CM15" s="343">
        <f>SUM(CW15:CY15)</f>
        <v>3138.7</v>
      </c>
      <c r="CN15" s="328">
        <v>693.5</v>
      </c>
      <c r="CO15" s="328">
        <v>476.3</v>
      </c>
      <c r="CP15" s="328">
        <v>611.9</v>
      </c>
      <c r="CQ15" s="328">
        <v>416.3</v>
      </c>
      <c r="CR15" s="332">
        <v>475.7</v>
      </c>
      <c r="CS15" s="332">
        <v>855.2</v>
      </c>
      <c r="CT15" s="328">
        <v>1447.2</v>
      </c>
      <c r="CU15" s="328">
        <v>1030.8</v>
      </c>
      <c r="CV15" s="328">
        <v>1498.2</v>
      </c>
      <c r="CW15" s="328">
        <v>1067.3</v>
      </c>
      <c r="CX15" s="328">
        <v>1156</v>
      </c>
      <c r="CY15" s="328">
        <v>915.4</v>
      </c>
      <c r="CZ15" s="192">
        <f t="shared" si="18"/>
        <v>9934.2</v>
      </c>
      <c r="DA15" s="343">
        <f t="shared" si="2"/>
        <v>2697.9</v>
      </c>
      <c r="DB15" s="343">
        <f t="shared" si="3"/>
        <v>2270.1</v>
      </c>
      <c r="DC15" s="343">
        <f t="shared" si="4"/>
        <v>3012.7</v>
      </c>
      <c r="DD15" s="343">
        <f t="shared" si="5"/>
        <v>1953.5</v>
      </c>
      <c r="DE15" s="328">
        <v>1067.1</v>
      </c>
      <c r="DF15" s="332">
        <v>942.6</v>
      </c>
      <c r="DG15" s="328">
        <v>688.2</v>
      </c>
      <c r="DH15" s="328">
        <v>538.3</v>
      </c>
      <c r="DI15" s="332">
        <v>1020</v>
      </c>
      <c r="DJ15" s="332">
        <v>711.8</v>
      </c>
      <c r="DK15" s="328">
        <v>772.5</v>
      </c>
      <c r="DL15" s="328">
        <v>903.1</v>
      </c>
      <c r="DM15" s="328">
        <v>1337.1</v>
      </c>
      <c r="DN15" s="328">
        <v>750.9</v>
      </c>
      <c r="DO15" s="328">
        <v>515.4</v>
      </c>
      <c r="DP15" s="328">
        <v>687.2</v>
      </c>
      <c r="DQ15" s="344">
        <v>20418.1</v>
      </c>
      <c r="DR15" s="332">
        <f t="shared" si="19"/>
        <v>2149.7</v>
      </c>
      <c r="DS15" s="332">
        <f t="shared" si="20"/>
        <v>4563.4</v>
      </c>
      <c r="DT15" s="332">
        <f t="shared" si="21"/>
        <v>4778</v>
      </c>
      <c r="DU15" s="332">
        <f t="shared" si="22"/>
        <v>7721.1</v>
      </c>
      <c r="DV15" s="359">
        <v>656.4</v>
      </c>
      <c r="DW15" s="332">
        <v>857.3</v>
      </c>
      <c r="DX15" s="332">
        <v>636</v>
      </c>
      <c r="DY15" s="343">
        <v>1392.5</v>
      </c>
      <c r="DZ15" s="343">
        <v>1982.3</v>
      </c>
      <c r="EA15" s="343">
        <v>1188.6</v>
      </c>
      <c r="EB15" s="343">
        <v>1379</v>
      </c>
      <c r="EC15" s="343">
        <v>1958.1</v>
      </c>
      <c r="ED15" s="343">
        <v>1440.9</v>
      </c>
      <c r="EE15" s="343">
        <v>1795.4</v>
      </c>
      <c r="EF15" s="343">
        <v>808.5</v>
      </c>
      <c r="EG15" s="343">
        <v>5117.2</v>
      </c>
      <c r="EH15" s="343">
        <v>2104.4</v>
      </c>
      <c r="EI15" s="343">
        <v>2357.8</v>
      </c>
      <c r="EJ15" s="343">
        <v>636</v>
      </c>
      <c r="EK15" s="343">
        <v>2704.1</v>
      </c>
      <c r="EL15" s="343">
        <v>1831.5</v>
      </c>
    </row>
    <row r="16" spans="1:142" ht="12.75">
      <c r="A16" s="275" t="s">
        <v>110</v>
      </c>
      <c r="B16" s="294">
        <f>SUM(G16:R16)</f>
        <v>539.3</v>
      </c>
      <c r="C16" s="134">
        <f>G16+H16+I16</f>
        <v>41.6</v>
      </c>
      <c r="D16" s="134">
        <f t="shared" si="23"/>
        <v>85.9</v>
      </c>
      <c r="E16" s="134">
        <f t="shared" si="24"/>
        <v>154.3</v>
      </c>
      <c r="F16" s="134">
        <f t="shared" si="25"/>
        <v>257.5</v>
      </c>
      <c r="G16" s="135">
        <v>10.8</v>
      </c>
      <c r="H16" s="135">
        <v>15.4</v>
      </c>
      <c r="I16" s="135">
        <v>15.4</v>
      </c>
      <c r="J16" s="134">
        <v>22.4</v>
      </c>
      <c r="K16" s="134">
        <v>25.2</v>
      </c>
      <c r="L16" s="134">
        <v>38.3</v>
      </c>
      <c r="M16" s="134">
        <v>46.2</v>
      </c>
      <c r="N16" s="134">
        <v>50.4</v>
      </c>
      <c r="O16" s="135">
        <v>57.7</v>
      </c>
      <c r="P16" s="134">
        <v>82.1</v>
      </c>
      <c r="Q16" s="135">
        <v>88.3</v>
      </c>
      <c r="R16" s="134">
        <v>87.1</v>
      </c>
      <c r="S16" s="297">
        <v>696</v>
      </c>
      <c r="T16" s="134">
        <f t="shared" si="6"/>
        <v>74</v>
      </c>
      <c r="U16" s="134">
        <f t="shared" si="7"/>
        <v>169.3</v>
      </c>
      <c r="V16" s="134">
        <f t="shared" si="8"/>
        <v>214.3</v>
      </c>
      <c r="W16" s="134">
        <f t="shared" si="9"/>
        <v>238.4</v>
      </c>
      <c r="X16" s="135">
        <v>18.3</v>
      </c>
      <c r="Y16" s="135">
        <v>22.4</v>
      </c>
      <c r="Z16" s="135">
        <v>33.3</v>
      </c>
      <c r="AA16" s="134">
        <v>47.9</v>
      </c>
      <c r="AB16" s="134">
        <v>38.9</v>
      </c>
      <c r="AC16" s="134">
        <v>82.5</v>
      </c>
      <c r="AD16" s="134">
        <v>64.1</v>
      </c>
      <c r="AE16" s="134">
        <v>68.4</v>
      </c>
      <c r="AF16" s="135">
        <v>81.8</v>
      </c>
      <c r="AG16" s="134">
        <v>77</v>
      </c>
      <c r="AH16" s="135">
        <v>85</v>
      </c>
      <c r="AI16" s="127">
        <v>76.4</v>
      </c>
      <c r="AJ16" s="134">
        <f t="shared" si="10"/>
        <v>1016.7</v>
      </c>
      <c r="AK16" s="134">
        <f t="shared" si="11"/>
        <v>160.8</v>
      </c>
      <c r="AL16" s="134">
        <f t="shared" si="12"/>
        <v>270</v>
      </c>
      <c r="AM16" s="134">
        <f t="shared" si="26"/>
        <v>306.9</v>
      </c>
      <c r="AN16" s="134">
        <f t="shared" si="1"/>
        <v>279</v>
      </c>
      <c r="AO16" s="127">
        <v>36.2</v>
      </c>
      <c r="AP16" s="127">
        <v>36.4</v>
      </c>
      <c r="AQ16" s="127">
        <v>88.2</v>
      </c>
      <c r="AR16" s="127">
        <v>71.4</v>
      </c>
      <c r="AS16" s="127">
        <v>79.8</v>
      </c>
      <c r="AT16" s="127">
        <v>118.8</v>
      </c>
      <c r="AU16" s="127">
        <v>93.8</v>
      </c>
      <c r="AV16" s="127">
        <v>106.8</v>
      </c>
      <c r="AW16" s="127">
        <v>106.3</v>
      </c>
      <c r="AX16" s="127">
        <v>90</v>
      </c>
      <c r="AY16" s="127">
        <v>78.1</v>
      </c>
      <c r="AZ16" s="127">
        <v>110.9</v>
      </c>
      <c r="BA16" s="192">
        <f t="shared" si="27"/>
        <v>612.2</v>
      </c>
      <c r="BB16" s="192">
        <f t="shared" si="13"/>
        <v>19.6</v>
      </c>
      <c r="BC16" s="192">
        <f t="shared" si="14"/>
        <v>110.7</v>
      </c>
      <c r="BD16" s="192">
        <f t="shared" si="15"/>
        <v>199.7</v>
      </c>
      <c r="BE16" s="192">
        <f t="shared" si="16"/>
        <v>282.2</v>
      </c>
      <c r="BF16" s="192">
        <f>24.9-24.5</f>
        <v>0.4</v>
      </c>
      <c r="BG16" s="192">
        <f>25.8-24.5</f>
        <v>1.3</v>
      </c>
      <c r="BH16" s="192">
        <f>42.4-24.5</f>
        <v>17.9</v>
      </c>
      <c r="BI16" s="192">
        <f>53.3-24.5</f>
        <v>28.8</v>
      </c>
      <c r="BJ16" s="192">
        <f>63.9-24.5</f>
        <v>39.4</v>
      </c>
      <c r="BK16" s="192">
        <f>67-24.5</f>
        <v>42.5</v>
      </c>
      <c r="BL16" s="192">
        <f>80.3-24.5</f>
        <v>55.8</v>
      </c>
      <c r="BM16" s="192">
        <f>93.9-24.5</f>
        <v>69.4</v>
      </c>
      <c r="BN16" s="192">
        <f>99-24.5</f>
        <v>74.5</v>
      </c>
      <c r="BO16" s="192">
        <f>112.7-24.5</f>
        <v>88.2</v>
      </c>
      <c r="BP16" s="192">
        <f>141.8-24.5</f>
        <v>117.3</v>
      </c>
      <c r="BQ16" s="192">
        <f>101.2-24.5</f>
        <v>76.7</v>
      </c>
      <c r="BR16" s="192">
        <f>SUM(BS16:BV16)</f>
        <v>891</v>
      </c>
      <c r="BS16" s="192">
        <f>SUM(BW16:BY16)</f>
        <v>109.2</v>
      </c>
      <c r="BT16" s="192">
        <f>SUM(BZ16:CB16)</f>
        <v>225.2</v>
      </c>
      <c r="BU16" s="192">
        <f>SUM(CC16:CE16)</f>
        <v>257.3</v>
      </c>
      <c r="BV16" s="192">
        <f>SUM(CF16:CH16)</f>
        <v>299.3</v>
      </c>
      <c r="BW16" s="127">
        <v>47</v>
      </c>
      <c r="BX16" s="127">
        <v>22.7</v>
      </c>
      <c r="BY16" s="127">
        <v>39.5</v>
      </c>
      <c r="BZ16" s="127">
        <v>56.5</v>
      </c>
      <c r="CA16" s="127">
        <v>68.7</v>
      </c>
      <c r="CB16" s="127">
        <v>100</v>
      </c>
      <c r="CC16" s="127">
        <v>86.4</v>
      </c>
      <c r="CD16" s="127">
        <v>87.8</v>
      </c>
      <c r="CE16" s="127">
        <v>83.1</v>
      </c>
      <c r="CF16" s="127">
        <v>92.3</v>
      </c>
      <c r="CG16" s="127">
        <v>101.3</v>
      </c>
      <c r="CH16" s="127">
        <v>105.7</v>
      </c>
      <c r="CI16" s="192">
        <v>1015.1</v>
      </c>
      <c r="CJ16" s="343">
        <f>SUM(CN16:CP16)</f>
        <v>123.9</v>
      </c>
      <c r="CK16" s="343">
        <f>SUM(CQ16:CS16)</f>
        <v>251.2</v>
      </c>
      <c r="CL16" s="343">
        <f>SUM(CT16:CV16)</f>
        <v>276.8</v>
      </c>
      <c r="CM16" s="343">
        <f>SUM(CW16:CY16)</f>
        <v>363.5</v>
      </c>
      <c r="CN16" s="328">
        <v>33.2</v>
      </c>
      <c r="CO16" s="328">
        <v>29.4</v>
      </c>
      <c r="CP16" s="328">
        <v>61.3</v>
      </c>
      <c r="CQ16" s="328">
        <v>55.9</v>
      </c>
      <c r="CR16" s="332">
        <v>82.1</v>
      </c>
      <c r="CS16" s="332">
        <v>113.2</v>
      </c>
      <c r="CT16" s="328">
        <v>80</v>
      </c>
      <c r="CU16" s="328">
        <v>81.7</v>
      </c>
      <c r="CV16" s="328">
        <v>115.1</v>
      </c>
      <c r="CW16" s="328">
        <v>86.2</v>
      </c>
      <c r="CX16" s="328">
        <v>135.8</v>
      </c>
      <c r="CY16" s="328">
        <v>141.5</v>
      </c>
      <c r="CZ16" s="192">
        <f t="shared" si="18"/>
        <v>757.9</v>
      </c>
      <c r="DA16" s="343">
        <f t="shared" si="2"/>
        <v>100.7</v>
      </c>
      <c r="DB16" s="343">
        <f t="shared" si="3"/>
        <v>118.6</v>
      </c>
      <c r="DC16" s="343">
        <f t="shared" si="4"/>
        <v>281.1</v>
      </c>
      <c r="DD16" s="343">
        <f t="shared" si="5"/>
        <v>257.5</v>
      </c>
      <c r="DE16" s="328">
        <v>30.5</v>
      </c>
      <c r="DF16" s="332">
        <v>28</v>
      </c>
      <c r="DG16" s="328">
        <v>42.2</v>
      </c>
      <c r="DH16" s="328">
        <v>11.5</v>
      </c>
      <c r="DI16" s="332">
        <v>35</v>
      </c>
      <c r="DJ16" s="332">
        <v>72.1</v>
      </c>
      <c r="DK16" s="328">
        <v>74</v>
      </c>
      <c r="DL16" s="328">
        <v>109.5</v>
      </c>
      <c r="DM16" s="328">
        <v>97.6</v>
      </c>
      <c r="DN16" s="328">
        <v>80.2</v>
      </c>
      <c r="DO16" s="328">
        <v>93.8</v>
      </c>
      <c r="DP16" s="328">
        <v>83.5</v>
      </c>
      <c r="DQ16" s="344">
        <v>665.5</v>
      </c>
      <c r="DR16" s="332">
        <f t="shared" si="19"/>
        <v>101.8</v>
      </c>
      <c r="DS16" s="332">
        <f t="shared" si="20"/>
        <v>140.5</v>
      </c>
      <c r="DT16" s="332">
        <f t="shared" si="21"/>
        <v>215.1</v>
      </c>
      <c r="DU16" s="332">
        <f t="shared" si="22"/>
        <v>189.9</v>
      </c>
      <c r="DV16" s="359">
        <v>34.7</v>
      </c>
      <c r="DW16" s="332">
        <v>35</v>
      </c>
      <c r="DX16" s="332">
        <v>32.1</v>
      </c>
      <c r="DY16" s="343">
        <v>37.7</v>
      </c>
      <c r="DZ16" s="343">
        <v>53</v>
      </c>
      <c r="EA16" s="343">
        <v>49.8</v>
      </c>
      <c r="EB16" s="343">
        <v>46.6</v>
      </c>
      <c r="EC16" s="343">
        <v>83.7</v>
      </c>
      <c r="ED16" s="343">
        <v>84.8</v>
      </c>
      <c r="EE16" s="343">
        <v>80.8</v>
      </c>
      <c r="EF16" s="343">
        <v>50.6</v>
      </c>
      <c r="EG16" s="343">
        <v>58.5</v>
      </c>
      <c r="EH16" s="343">
        <v>35.8</v>
      </c>
      <c r="EI16" s="343">
        <v>29.5</v>
      </c>
      <c r="EJ16" s="343">
        <v>34.9</v>
      </c>
      <c r="EK16" s="343">
        <v>44.6</v>
      </c>
      <c r="EL16" s="343">
        <v>64.7</v>
      </c>
    </row>
    <row r="17" spans="1:142" s="310" customFormat="1" ht="12.75">
      <c r="A17" s="309"/>
      <c r="B17" s="294"/>
      <c r="C17" s="129"/>
      <c r="D17" s="135"/>
      <c r="E17" s="129"/>
      <c r="F17" s="129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81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34"/>
      <c r="AK17" s="129"/>
      <c r="AL17" s="129">
        <f t="shared" si="12"/>
        <v>0</v>
      </c>
      <c r="AM17" s="129">
        <f t="shared" si="26"/>
        <v>0</v>
      </c>
      <c r="AN17" s="129">
        <f t="shared" si="1"/>
        <v>0</v>
      </c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92"/>
      <c r="BB17" s="192"/>
      <c r="BC17" s="192"/>
      <c r="BD17" s="192"/>
      <c r="BE17" s="192"/>
      <c r="BF17" s="260"/>
      <c r="BG17" s="260"/>
      <c r="BH17" s="260"/>
      <c r="BI17" s="260"/>
      <c r="BJ17" s="260"/>
      <c r="BK17" s="260"/>
      <c r="BL17" s="323"/>
      <c r="BM17" s="260"/>
      <c r="BN17" s="260"/>
      <c r="BO17" s="323"/>
      <c r="BP17" s="260"/>
      <c r="BQ17" s="260"/>
      <c r="BR17" s="192"/>
      <c r="BS17" s="192"/>
      <c r="BT17" s="192"/>
      <c r="BU17" s="192"/>
      <c r="BV17" s="192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92"/>
      <c r="CJ17" s="343"/>
      <c r="CK17" s="343"/>
      <c r="CL17" s="343"/>
      <c r="CM17" s="343"/>
      <c r="CN17" s="329"/>
      <c r="CO17" s="329"/>
      <c r="CP17" s="329"/>
      <c r="CQ17" s="329"/>
      <c r="CR17" s="330"/>
      <c r="CS17" s="330"/>
      <c r="CT17" s="329"/>
      <c r="CU17" s="329"/>
      <c r="CV17" s="329"/>
      <c r="CW17" s="329"/>
      <c r="CX17" s="329"/>
      <c r="CY17" s="329"/>
      <c r="CZ17" s="257"/>
      <c r="DA17" s="343">
        <f t="shared" si="2"/>
        <v>0</v>
      </c>
      <c r="DB17" s="342">
        <f t="shared" si="3"/>
        <v>0</v>
      </c>
      <c r="DC17" s="342">
        <f t="shared" si="4"/>
        <v>0</v>
      </c>
      <c r="DD17" s="342">
        <f t="shared" si="5"/>
        <v>0</v>
      </c>
      <c r="DE17" s="329"/>
      <c r="DF17" s="326"/>
      <c r="DG17" s="329"/>
      <c r="DH17" s="329"/>
      <c r="DI17" s="330"/>
      <c r="DJ17" s="330"/>
      <c r="DK17" s="329"/>
      <c r="DL17" s="329"/>
      <c r="DM17" s="329"/>
      <c r="DN17" s="329"/>
      <c r="DO17" s="329"/>
      <c r="DP17" s="329"/>
      <c r="DQ17" s="357"/>
      <c r="DR17" s="332"/>
      <c r="DS17" s="327"/>
      <c r="DT17" s="327"/>
      <c r="DU17" s="327"/>
      <c r="DV17" s="360"/>
      <c r="DW17" s="350"/>
      <c r="DX17" s="350"/>
      <c r="DY17" s="350"/>
      <c r="DZ17" s="350"/>
      <c r="EA17" s="350"/>
      <c r="EB17" s="350"/>
      <c r="EC17" s="350"/>
      <c r="ED17" s="350"/>
      <c r="EE17" s="350"/>
      <c r="EF17" s="350"/>
      <c r="EG17" s="350"/>
      <c r="EH17" s="350"/>
      <c r="EI17" s="350"/>
      <c r="EK17" s="370"/>
      <c r="EL17" s="370"/>
    </row>
    <row r="18" spans="1:142" s="322" customFormat="1" ht="12.75">
      <c r="A18" s="274" t="s">
        <v>111</v>
      </c>
      <c r="B18" s="294">
        <f>SUM(G18:R18)</f>
        <v>140266.9</v>
      </c>
      <c r="C18" s="123">
        <f aca="true" t="shared" si="28" ref="C18:C31">G18+H18+I18</f>
        <v>25082.7</v>
      </c>
      <c r="D18" s="123">
        <f t="shared" si="23"/>
        <v>27075.1</v>
      </c>
      <c r="E18" s="123">
        <f t="shared" si="24"/>
        <v>30654.5</v>
      </c>
      <c r="F18" s="123">
        <f t="shared" si="25"/>
        <v>57454.6</v>
      </c>
      <c r="G18" s="125">
        <v>7465.9</v>
      </c>
      <c r="H18" s="125">
        <v>9416.8</v>
      </c>
      <c r="I18" s="125">
        <v>8200</v>
      </c>
      <c r="J18" s="123">
        <v>8320</v>
      </c>
      <c r="K18" s="123">
        <v>8577.8</v>
      </c>
      <c r="L18" s="123">
        <v>10177.3</v>
      </c>
      <c r="M18" s="123">
        <v>8841.4</v>
      </c>
      <c r="N18" s="123">
        <v>9213.8</v>
      </c>
      <c r="O18" s="125">
        <v>12599.3</v>
      </c>
      <c r="P18" s="123">
        <v>16393.5</v>
      </c>
      <c r="Q18" s="125">
        <v>19662.1</v>
      </c>
      <c r="R18" s="125">
        <v>21399</v>
      </c>
      <c r="S18" s="300">
        <v>140604.2</v>
      </c>
      <c r="T18" s="123">
        <f t="shared" si="6"/>
        <v>38703.7</v>
      </c>
      <c r="U18" s="123">
        <f t="shared" si="7"/>
        <v>33084</v>
      </c>
      <c r="V18" s="123">
        <f t="shared" si="8"/>
        <v>31362.3</v>
      </c>
      <c r="W18" s="125">
        <f t="shared" si="9"/>
        <v>37454</v>
      </c>
      <c r="X18" s="125">
        <v>13476.5</v>
      </c>
      <c r="Y18" s="125">
        <v>12525.3</v>
      </c>
      <c r="Z18" s="125">
        <v>12701.9</v>
      </c>
      <c r="AA18" s="125">
        <v>11160.5</v>
      </c>
      <c r="AB18" s="125">
        <v>11034.8</v>
      </c>
      <c r="AC18" s="125">
        <v>10888.7</v>
      </c>
      <c r="AD18" s="125">
        <v>10981.4</v>
      </c>
      <c r="AE18" s="125">
        <v>10884.7</v>
      </c>
      <c r="AF18" s="125">
        <v>9496.2</v>
      </c>
      <c r="AG18" s="125">
        <v>11748.1</v>
      </c>
      <c r="AH18" s="125">
        <v>13985</v>
      </c>
      <c r="AI18" s="125">
        <v>11720.9</v>
      </c>
      <c r="AJ18" s="125">
        <f t="shared" si="10"/>
        <v>160143.9</v>
      </c>
      <c r="AK18" s="123">
        <f t="shared" si="11"/>
        <v>25225.9</v>
      </c>
      <c r="AL18" s="123">
        <f t="shared" si="12"/>
        <v>31946</v>
      </c>
      <c r="AM18" s="123">
        <f t="shared" si="26"/>
        <v>47360</v>
      </c>
      <c r="AN18" s="123">
        <f t="shared" si="1"/>
        <v>55612</v>
      </c>
      <c r="AO18" s="123">
        <v>7054</v>
      </c>
      <c r="AP18" s="123">
        <v>9452.2</v>
      </c>
      <c r="AQ18" s="123">
        <v>8719.7</v>
      </c>
      <c r="AR18" s="123">
        <v>8673.3</v>
      </c>
      <c r="AS18" s="123">
        <v>10671.4</v>
      </c>
      <c r="AT18" s="123">
        <v>12601.3</v>
      </c>
      <c r="AU18" s="123">
        <v>13220.4</v>
      </c>
      <c r="AV18" s="123">
        <v>16228.8</v>
      </c>
      <c r="AW18" s="123">
        <v>17910.8</v>
      </c>
      <c r="AX18" s="123">
        <v>16266.1</v>
      </c>
      <c r="AY18" s="123">
        <v>17959.8</v>
      </c>
      <c r="AZ18" s="123">
        <v>21386.1</v>
      </c>
      <c r="BA18" s="257">
        <f t="shared" si="27"/>
        <v>176446.5</v>
      </c>
      <c r="BB18" s="257">
        <f t="shared" si="13"/>
        <v>36077.3</v>
      </c>
      <c r="BC18" s="257">
        <f t="shared" si="14"/>
        <v>40741.1</v>
      </c>
      <c r="BD18" s="257">
        <f t="shared" si="15"/>
        <v>45263.5</v>
      </c>
      <c r="BE18" s="257">
        <f t="shared" si="16"/>
        <v>54364.6</v>
      </c>
      <c r="BF18" s="131">
        <f>SUM(BF19:BF31)</f>
        <v>8965</v>
      </c>
      <c r="BG18" s="131">
        <f aca="true" t="shared" si="29" ref="BG18:BQ18">SUM(BG19:BG31)</f>
        <v>9261</v>
      </c>
      <c r="BH18" s="131">
        <f t="shared" si="29"/>
        <v>17851.3</v>
      </c>
      <c r="BI18" s="131">
        <f t="shared" si="29"/>
        <v>12378.3</v>
      </c>
      <c r="BJ18" s="131">
        <f t="shared" si="29"/>
        <v>13646.9</v>
      </c>
      <c r="BK18" s="131">
        <f t="shared" si="29"/>
        <v>14715.9</v>
      </c>
      <c r="BL18" s="131">
        <f t="shared" si="29"/>
        <v>16516.8</v>
      </c>
      <c r="BM18" s="131">
        <f t="shared" si="29"/>
        <v>15801.2</v>
      </c>
      <c r="BN18" s="131">
        <f t="shared" si="29"/>
        <v>12945.5</v>
      </c>
      <c r="BO18" s="131">
        <f t="shared" si="29"/>
        <v>14147.9</v>
      </c>
      <c r="BP18" s="131">
        <f t="shared" si="29"/>
        <v>19917.3</v>
      </c>
      <c r="BQ18" s="131">
        <f t="shared" si="29"/>
        <v>20299.4</v>
      </c>
      <c r="BR18" s="257">
        <f aca="true" t="shared" si="30" ref="BR18:BR31">SUM(BS18:BV18)</f>
        <v>189801.7</v>
      </c>
      <c r="BS18" s="257">
        <f aca="true" t="shared" si="31" ref="BS18:BS31">SUM(BW18:BY18)</f>
        <v>39083.5</v>
      </c>
      <c r="BT18" s="257">
        <f aca="true" t="shared" si="32" ref="BT18:BT31">SUM(BZ18:CB18)</f>
        <v>41158.9</v>
      </c>
      <c r="BU18" s="257">
        <f aca="true" t="shared" si="33" ref="BU18:BU31">SUM(CC18:CE18)</f>
        <v>44921</v>
      </c>
      <c r="BV18" s="257">
        <f aca="true" t="shared" si="34" ref="BV18:BV31">SUM(CF18:CH18)</f>
        <v>64638.3</v>
      </c>
      <c r="BW18" s="123">
        <v>11566</v>
      </c>
      <c r="BX18" s="123">
        <v>11273.8</v>
      </c>
      <c r="BY18" s="123">
        <v>16243.7</v>
      </c>
      <c r="BZ18" s="123">
        <v>13883.7</v>
      </c>
      <c r="CA18" s="123">
        <v>12904.1</v>
      </c>
      <c r="CB18" s="123">
        <v>14371.1</v>
      </c>
      <c r="CC18" s="123">
        <v>14211.9</v>
      </c>
      <c r="CD18" s="123">
        <v>13727.6</v>
      </c>
      <c r="CE18" s="123">
        <v>16981.5</v>
      </c>
      <c r="CF18" s="123">
        <v>17835.9</v>
      </c>
      <c r="CG18" s="123">
        <v>25058.2</v>
      </c>
      <c r="CH18" s="123">
        <v>21744.2</v>
      </c>
      <c r="CI18" s="257">
        <v>219184.9</v>
      </c>
      <c r="CJ18" s="342">
        <f aca="true" t="shared" si="35" ref="CJ18:CJ31">SUM(CN18:CP18)</f>
        <v>47000.8</v>
      </c>
      <c r="CK18" s="342">
        <f aca="true" t="shared" si="36" ref="CK18:CK31">SUM(CQ18:CS18)</f>
        <v>53520.6</v>
      </c>
      <c r="CL18" s="342">
        <f aca="true" t="shared" si="37" ref="CL18:CL31">SUM(CT18:CV18)</f>
        <v>56014</v>
      </c>
      <c r="CM18" s="342">
        <f aca="true" t="shared" si="38" ref="CM18:CM31">SUM(CW18:CY18)</f>
        <v>62649.4</v>
      </c>
      <c r="CN18" s="326">
        <v>12951.1</v>
      </c>
      <c r="CO18" s="326">
        <v>12969</v>
      </c>
      <c r="CP18" s="326">
        <v>21080.7</v>
      </c>
      <c r="CQ18" s="326">
        <v>16885.5</v>
      </c>
      <c r="CR18" s="327">
        <v>16781.1</v>
      </c>
      <c r="CS18" s="327">
        <v>19854</v>
      </c>
      <c r="CT18" s="326">
        <v>18202.5</v>
      </c>
      <c r="CU18" s="326">
        <v>15295.6</v>
      </c>
      <c r="CV18" s="326">
        <v>22515.9</v>
      </c>
      <c r="CW18" s="326">
        <v>21824.1</v>
      </c>
      <c r="CX18" s="326">
        <v>20025.3</v>
      </c>
      <c r="CY18" s="326">
        <v>20800</v>
      </c>
      <c r="CZ18" s="257">
        <f t="shared" si="18"/>
        <v>260985.2</v>
      </c>
      <c r="DA18" s="342">
        <f t="shared" si="2"/>
        <v>56717.9</v>
      </c>
      <c r="DB18" s="342">
        <f t="shared" si="3"/>
        <v>68638.7</v>
      </c>
      <c r="DC18" s="342">
        <f t="shared" si="4"/>
        <v>73229.1</v>
      </c>
      <c r="DD18" s="342">
        <f t="shared" si="5"/>
        <v>62399.5</v>
      </c>
      <c r="DE18" s="326">
        <v>14478.5</v>
      </c>
      <c r="DF18" s="326">
        <v>18576.9</v>
      </c>
      <c r="DG18" s="326">
        <v>23662.5</v>
      </c>
      <c r="DH18" s="326">
        <v>20295.6</v>
      </c>
      <c r="DI18" s="327">
        <v>21783</v>
      </c>
      <c r="DJ18" s="327">
        <v>26560.1</v>
      </c>
      <c r="DK18" s="326">
        <v>22820.7</v>
      </c>
      <c r="DL18" s="326">
        <v>21977.3</v>
      </c>
      <c r="DM18" s="326">
        <v>28431.1</v>
      </c>
      <c r="DN18" s="326">
        <v>21853.3</v>
      </c>
      <c r="DO18" s="326">
        <v>19011.9</v>
      </c>
      <c r="DP18" s="326">
        <v>21534.3</v>
      </c>
      <c r="DQ18" s="356">
        <v>278764.8</v>
      </c>
      <c r="DR18" s="327">
        <f t="shared" si="19"/>
        <v>53452.2</v>
      </c>
      <c r="DS18" s="327">
        <f t="shared" si="20"/>
        <v>65986.8</v>
      </c>
      <c r="DT18" s="327">
        <f t="shared" si="21"/>
        <v>64194.8</v>
      </c>
      <c r="DU18" s="327">
        <f t="shared" si="22"/>
        <v>95367.7</v>
      </c>
      <c r="DV18" s="361">
        <v>14457.6</v>
      </c>
      <c r="DW18" s="342">
        <v>16911.1</v>
      </c>
      <c r="DX18" s="342">
        <v>22083.5</v>
      </c>
      <c r="DY18" s="342">
        <v>20311.3</v>
      </c>
      <c r="DZ18" s="342">
        <v>22649.7</v>
      </c>
      <c r="EA18" s="342">
        <v>23025.8</v>
      </c>
      <c r="EB18" s="342">
        <v>16422</v>
      </c>
      <c r="EC18" s="342">
        <v>24879.4</v>
      </c>
      <c r="ED18" s="342">
        <v>22893.4</v>
      </c>
      <c r="EE18" s="342">
        <v>34113.8</v>
      </c>
      <c r="EF18" s="342">
        <v>29005.6</v>
      </c>
      <c r="EG18" s="342">
        <v>32248.3</v>
      </c>
      <c r="EH18" s="342">
        <v>14007</v>
      </c>
      <c r="EI18" s="342">
        <v>15896.5</v>
      </c>
      <c r="EJ18" s="367">
        <v>22020.6</v>
      </c>
      <c r="EK18" s="342">
        <v>28570.8</v>
      </c>
      <c r="EL18" s="342">
        <v>28801.9</v>
      </c>
    </row>
    <row r="19" spans="1:142" ht="12.75">
      <c r="A19" s="275" t="s">
        <v>132</v>
      </c>
      <c r="B19" s="294">
        <f>SUM(G19:R19)</f>
        <v>24835.2</v>
      </c>
      <c r="C19" s="134">
        <f t="shared" si="28"/>
        <v>4983.7</v>
      </c>
      <c r="D19" s="134">
        <f t="shared" si="23"/>
        <v>6216.6</v>
      </c>
      <c r="E19" s="134">
        <f t="shared" si="24"/>
        <v>6627</v>
      </c>
      <c r="F19" s="134">
        <f t="shared" si="25"/>
        <v>7007.9</v>
      </c>
      <c r="G19" s="127">
        <v>1581.3</v>
      </c>
      <c r="H19" s="127">
        <v>1592.3</v>
      </c>
      <c r="I19" s="127">
        <v>1810.1</v>
      </c>
      <c r="J19" s="134">
        <v>1860.1</v>
      </c>
      <c r="K19" s="134">
        <v>2141.7</v>
      </c>
      <c r="L19" s="134">
        <v>2214.8</v>
      </c>
      <c r="M19" s="134">
        <v>2263.9</v>
      </c>
      <c r="N19" s="134">
        <v>2185.8</v>
      </c>
      <c r="O19" s="127">
        <v>2177.3</v>
      </c>
      <c r="P19" s="134">
        <v>2131.5</v>
      </c>
      <c r="Q19" s="127">
        <v>2420.5</v>
      </c>
      <c r="R19" s="134">
        <v>2455.9</v>
      </c>
      <c r="S19" s="181">
        <v>23129.3</v>
      </c>
      <c r="T19" s="134">
        <f t="shared" si="6"/>
        <v>4909.8</v>
      </c>
      <c r="U19" s="134">
        <f t="shared" si="7"/>
        <v>6110.4</v>
      </c>
      <c r="V19" s="134">
        <f t="shared" si="8"/>
        <v>6228.4</v>
      </c>
      <c r="W19" s="134">
        <f t="shared" si="9"/>
        <v>5880.7</v>
      </c>
      <c r="X19" s="127">
        <v>1514.7</v>
      </c>
      <c r="Y19" s="127">
        <v>1602.8</v>
      </c>
      <c r="Z19" s="127">
        <v>1792.3</v>
      </c>
      <c r="AA19" s="134">
        <v>1818.2</v>
      </c>
      <c r="AB19" s="134">
        <v>2069.6</v>
      </c>
      <c r="AC19" s="134">
        <v>2222.6</v>
      </c>
      <c r="AD19" s="134">
        <v>2175.3</v>
      </c>
      <c r="AE19" s="134">
        <v>2091.9</v>
      </c>
      <c r="AF19" s="127">
        <v>1961.2</v>
      </c>
      <c r="AG19" s="134">
        <v>2101.1</v>
      </c>
      <c r="AH19" s="127">
        <v>2046.5</v>
      </c>
      <c r="AI19" s="127">
        <v>1733.1</v>
      </c>
      <c r="AJ19" s="134">
        <f t="shared" si="10"/>
        <v>24493.2</v>
      </c>
      <c r="AK19" s="134">
        <f t="shared" si="11"/>
        <v>4189.5</v>
      </c>
      <c r="AL19" s="134">
        <f t="shared" si="12"/>
        <v>6474.9</v>
      </c>
      <c r="AM19" s="134">
        <f t="shared" si="26"/>
        <v>6228.9</v>
      </c>
      <c r="AN19" s="134">
        <f t="shared" si="1"/>
        <v>7599.9</v>
      </c>
      <c r="AO19" s="127">
        <v>1168.2</v>
      </c>
      <c r="AP19" s="127">
        <v>1318.6</v>
      </c>
      <c r="AQ19" s="127">
        <v>1702.7</v>
      </c>
      <c r="AR19" s="127">
        <v>1560.3</v>
      </c>
      <c r="AS19" s="127">
        <v>2027.5</v>
      </c>
      <c r="AT19" s="127">
        <v>2887.1</v>
      </c>
      <c r="AU19" s="127">
        <v>2002.4</v>
      </c>
      <c r="AV19" s="127">
        <v>1971.6</v>
      </c>
      <c r="AW19" s="127">
        <v>2254.9</v>
      </c>
      <c r="AX19" s="127">
        <v>2421.3</v>
      </c>
      <c r="AY19" s="127">
        <v>2505.7</v>
      </c>
      <c r="AZ19" s="127">
        <v>2672.9</v>
      </c>
      <c r="BA19" s="192">
        <f t="shared" si="27"/>
        <v>29221.8</v>
      </c>
      <c r="BB19" s="192">
        <f t="shared" si="13"/>
        <v>6445.6</v>
      </c>
      <c r="BC19" s="192">
        <f t="shared" si="14"/>
        <v>6448.3</v>
      </c>
      <c r="BD19" s="192">
        <f t="shared" si="15"/>
        <v>7589.7</v>
      </c>
      <c r="BE19" s="192">
        <f t="shared" si="16"/>
        <v>8738.2</v>
      </c>
      <c r="BF19" s="127">
        <v>1918.2</v>
      </c>
      <c r="BG19" s="318">
        <v>1986.8</v>
      </c>
      <c r="BH19" s="127">
        <v>2540.6</v>
      </c>
      <c r="BI19" s="318">
        <v>1969.8</v>
      </c>
      <c r="BJ19" s="318">
        <v>2122</v>
      </c>
      <c r="BK19" s="318">
        <v>2356.5</v>
      </c>
      <c r="BL19" s="318">
        <v>2442.2</v>
      </c>
      <c r="BM19" s="318">
        <v>2566.7</v>
      </c>
      <c r="BN19" s="318">
        <v>2580.8</v>
      </c>
      <c r="BO19" s="318">
        <v>2653.2</v>
      </c>
      <c r="BP19" s="318">
        <v>2914.4</v>
      </c>
      <c r="BQ19" s="127">
        <v>3170.6</v>
      </c>
      <c r="BR19" s="192">
        <f t="shared" si="30"/>
        <v>29420.3</v>
      </c>
      <c r="BS19" s="192">
        <f t="shared" si="31"/>
        <v>6220</v>
      </c>
      <c r="BT19" s="192">
        <f t="shared" si="32"/>
        <v>6638.5</v>
      </c>
      <c r="BU19" s="192">
        <f t="shared" si="33"/>
        <v>7745.3</v>
      </c>
      <c r="BV19" s="192">
        <f t="shared" si="34"/>
        <v>8816.5</v>
      </c>
      <c r="BW19" s="127">
        <v>2111.8</v>
      </c>
      <c r="BX19" s="127">
        <v>1985</v>
      </c>
      <c r="BY19" s="127">
        <v>2123.2</v>
      </c>
      <c r="BZ19" s="127">
        <v>2094.3</v>
      </c>
      <c r="CA19" s="127">
        <v>2239.7</v>
      </c>
      <c r="CB19" s="127">
        <v>2304.5</v>
      </c>
      <c r="CC19" s="127">
        <v>2902.8</v>
      </c>
      <c r="CD19" s="127">
        <v>2489</v>
      </c>
      <c r="CE19" s="127">
        <v>2353.5</v>
      </c>
      <c r="CF19" s="127">
        <v>3110.5</v>
      </c>
      <c r="CG19" s="127">
        <v>2887.7</v>
      </c>
      <c r="CH19" s="127">
        <v>2818.3</v>
      </c>
      <c r="CI19" s="192">
        <v>30525.4</v>
      </c>
      <c r="CJ19" s="343">
        <f t="shared" si="35"/>
        <v>5775.4</v>
      </c>
      <c r="CK19" s="343">
        <f t="shared" si="36"/>
        <v>7067.8</v>
      </c>
      <c r="CL19" s="343">
        <f t="shared" si="37"/>
        <v>8285.2</v>
      </c>
      <c r="CM19" s="343">
        <f t="shared" si="38"/>
        <v>9396.9</v>
      </c>
      <c r="CN19" s="328">
        <v>1993</v>
      </c>
      <c r="CO19" s="328">
        <v>1780.3</v>
      </c>
      <c r="CP19" s="328">
        <v>2002.1</v>
      </c>
      <c r="CQ19" s="328">
        <v>2192.9</v>
      </c>
      <c r="CR19" s="332">
        <v>2303.2</v>
      </c>
      <c r="CS19" s="332">
        <v>2571.7</v>
      </c>
      <c r="CT19" s="328">
        <v>2930.3</v>
      </c>
      <c r="CU19" s="328">
        <v>2772</v>
      </c>
      <c r="CV19" s="328">
        <v>2582.9</v>
      </c>
      <c r="CW19" s="328">
        <v>3135.1</v>
      </c>
      <c r="CX19" s="328">
        <v>3039.2</v>
      </c>
      <c r="CY19" s="328">
        <v>3222.6</v>
      </c>
      <c r="CZ19" s="192">
        <f t="shared" si="18"/>
        <v>31483.6</v>
      </c>
      <c r="DA19" s="343">
        <f t="shared" si="2"/>
        <v>6618.6</v>
      </c>
      <c r="DB19" s="343">
        <f t="shared" si="3"/>
        <v>7074.9</v>
      </c>
      <c r="DC19" s="343">
        <f t="shared" si="4"/>
        <v>8321.7</v>
      </c>
      <c r="DD19" s="343">
        <f t="shared" si="5"/>
        <v>9468.4</v>
      </c>
      <c r="DE19" s="328">
        <v>2146.7</v>
      </c>
      <c r="DF19" s="332">
        <v>2125.1</v>
      </c>
      <c r="DG19" s="328">
        <v>2346.8</v>
      </c>
      <c r="DH19" s="328">
        <v>1918.6</v>
      </c>
      <c r="DI19" s="332">
        <v>2375.2</v>
      </c>
      <c r="DJ19" s="332">
        <v>2781.1</v>
      </c>
      <c r="DK19" s="328">
        <v>2731.5</v>
      </c>
      <c r="DL19" s="328">
        <v>2726.7</v>
      </c>
      <c r="DM19" s="328">
        <v>2863.5</v>
      </c>
      <c r="DN19" s="328">
        <v>2995.2</v>
      </c>
      <c r="DO19" s="328">
        <v>3167.2</v>
      </c>
      <c r="DP19" s="328">
        <v>3306</v>
      </c>
      <c r="DQ19" s="344">
        <v>42897.9</v>
      </c>
      <c r="DR19" s="332">
        <f t="shared" si="19"/>
        <v>8514.8</v>
      </c>
      <c r="DS19" s="332">
        <f t="shared" si="20"/>
        <v>9185</v>
      </c>
      <c r="DT19" s="332">
        <f t="shared" si="21"/>
        <v>11893.1</v>
      </c>
      <c r="DU19" s="332">
        <f t="shared" si="22"/>
        <v>13434</v>
      </c>
      <c r="DV19" s="359">
        <v>2583.1</v>
      </c>
      <c r="DW19" s="332">
        <v>2868.3</v>
      </c>
      <c r="DX19" s="332">
        <v>3063.4</v>
      </c>
      <c r="DY19" s="350">
        <v>2831.4</v>
      </c>
      <c r="DZ19" s="343">
        <v>3079.3</v>
      </c>
      <c r="EA19" s="350">
        <v>3274.3</v>
      </c>
      <c r="EB19" s="343">
        <v>3533.7</v>
      </c>
      <c r="EC19" s="343">
        <v>4394.2</v>
      </c>
      <c r="ED19" s="343">
        <v>3965.2</v>
      </c>
      <c r="EE19" s="343">
        <v>4633.6</v>
      </c>
      <c r="EF19" s="343">
        <v>4619.6</v>
      </c>
      <c r="EG19" s="343">
        <v>4180.8</v>
      </c>
      <c r="EH19" s="343">
        <v>3018.3</v>
      </c>
      <c r="EI19" s="343">
        <v>3391.5</v>
      </c>
      <c r="EJ19" s="368">
        <v>2996.9</v>
      </c>
      <c r="EK19" s="343">
        <v>3930.3</v>
      </c>
      <c r="EL19" s="343">
        <v>4361.2</v>
      </c>
    </row>
    <row r="20" spans="1:142" ht="12.75">
      <c r="A20" s="275" t="s">
        <v>112</v>
      </c>
      <c r="B20" s="294">
        <f aca="true" t="shared" si="39" ref="B20:B31">SUM(G20:R20)</f>
        <v>6144.7</v>
      </c>
      <c r="C20" s="134">
        <f t="shared" si="28"/>
        <v>1194.9</v>
      </c>
      <c r="D20" s="134">
        <f t="shared" si="23"/>
        <v>1640.2</v>
      </c>
      <c r="E20" s="134">
        <f t="shared" si="24"/>
        <v>1653</v>
      </c>
      <c r="F20" s="134">
        <f t="shared" si="25"/>
        <v>1656.6</v>
      </c>
      <c r="G20" s="127">
        <v>306.9</v>
      </c>
      <c r="H20" s="127">
        <v>425.7</v>
      </c>
      <c r="I20" s="127">
        <v>462.3</v>
      </c>
      <c r="J20" s="134">
        <v>503.4</v>
      </c>
      <c r="K20" s="134">
        <v>555.1</v>
      </c>
      <c r="L20" s="134">
        <v>581.7</v>
      </c>
      <c r="M20" s="134">
        <v>480.4</v>
      </c>
      <c r="N20" s="134">
        <v>525.1</v>
      </c>
      <c r="O20" s="127">
        <v>647.5</v>
      </c>
      <c r="P20" s="134">
        <v>669.2</v>
      </c>
      <c r="Q20" s="127">
        <v>567.2</v>
      </c>
      <c r="R20" s="134">
        <v>420.2</v>
      </c>
      <c r="S20" s="181">
        <v>5405.2</v>
      </c>
      <c r="T20" s="134">
        <f t="shared" si="6"/>
        <v>859.5</v>
      </c>
      <c r="U20" s="134">
        <f t="shared" si="7"/>
        <v>1134.2</v>
      </c>
      <c r="V20" s="134">
        <f t="shared" si="8"/>
        <v>1867.4</v>
      </c>
      <c r="W20" s="134">
        <f t="shared" si="9"/>
        <v>1544.1</v>
      </c>
      <c r="X20" s="127">
        <v>272.4</v>
      </c>
      <c r="Y20" s="127">
        <v>267.8</v>
      </c>
      <c r="Z20" s="127">
        <v>319.3</v>
      </c>
      <c r="AA20" s="134">
        <v>317.8</v>
      </c>
      <c r="AB20" s="134">
        <v>368.6</v>
      </c>
      <c r="AC20" s="134">
        <v>447.8</v>
      </c>
      <c r="AD20" s="134">
        <v>658.2</v>
      </c>
      <c r="AE20" s="134">
        <v>706.9</v>
      </c>
      <c r="AF20" s="127">
        <v>502.3</v>
      </c>
      <c r="AG20" s="134">
        <v>524.9</v>
      </c>
      <c r="AH20" s="127">
        <v>512.7</v>
      </c>
      <c r="AI20" s="127">
        <v>506.5</v>
      </c>
      <c r="AJ20" s="134">
        <f t="shared" si="10"/>
        <v>5130.8</v>
      </c>
      <c r="AK20" s="134">
        <f t="shared" si="11"/>
        <v>772.6</v>
      </c>
      <c r="AL20" s="134">
        <f t="shared" si="12"/>
        <v>915.8</v>
      </c>
      <c r="AM20" s="134">
        <f t="shared" si="26"/>
        <v>1590.2</v>
      </c>
      <c r="AN20" s="134">
        <f t="shared" si="1"/>
        <v>1852.2</v>
      </c>
      <c r="AO20" s="127">
        <v>227.4</v>
      </c>
      <c r="AP20" s="127">
        <v>287.9</v>
      </c>
      <c r="AQ20" s="127">
        <v>257.3</v>
      </c>
      <c r="AR20" s="127">
        <v>290.5</v>
      </c>
      <c r="AS20" s="127">
        <v>305.4</v>
      </c>
      <c r="AT20" s="127">
        <v>319.9</v>
      </c>
      <c r="AU20" s="127">
        <v>394.6</v>
      </c>
      <c r="AV20" s="127">
        <v>570.8</v>
      </c>
      <c r="AW20" s="127">
        <v>624.8</v>
      </c>
      <c r="AX20" s="127">
        <v>667.9</v>
      </c>
      <c r="AY20" s="127">
        <v>615.8</v>
      </c>
      <c r="AZ20" s="127">
        <v>568.5</v>
      </c>
      <c r="BA20" s="192">
        <f t="shared" si="27"/>
        <v>6064.4</v>
      </c>
      <c r="BB20" s="192">
        <f t="shared" si="13"/>
        <v>555.8</v>
      </c>
      <c r="BC20" s="192">
        <f t="shared" si="14"/>
        <v>1187.6</v>
      </c>
      <c r="BD20" s="192">
        <f t="shared" si="15"/>
        <v>1825.8</v>
      </c>
      <c r="BE20" s="192">
        <f t="shared" si="16"/>
        <v>2495.2</v>
      </c>
      <c r="BF20" s="127">
        <v>100.6</v>
      </c>
      <c r="BG20" s="318">
        <v>161.9</v>
      </c>
      <c r="BH20" s="127">
        <v>293.3</v>
      </c>
      <c r="BI20" s="318">
        <v>339.1</v>
      </c>
      <c r="BJ20" s="318">
        <v>394</v>
      </c>
      <c r="BK20" s="318">
        <v>454.5</v>
      </c>
      <c r="BL20" s="318">
        <v>468.6</v>
      </c>
      <c r="BM20" s="318">
        <v>606.8</v>
      </c>
      <c r="BN20" s="318">
        <v>750.4</v>
      </c>
      <c r="BO20" s="318">
        <v>813.5</v>
      </c>
      <c r="BP20" s="318">
        <v>857.7</v>
      </c>
      <c r="BQ20" s="127">
        <v>824</v>
      </c>
      <c r="BR20" s="192">
        <f t="shared" si="30"/>
        <v>8157.6</v>
      </c>
      <c r="BS20" s="192">
        <f t="shared" si="31"/>
        <v>1334.3</v>
      </c>
      <c r="BT20" s="192">
        <f t="shared" si="32"/>
        <v>1632.9</v>
      </c>
      <c r="BU20" s="192">
        <f t="shared" si="33"/>
        <v>2194.8</v>
      </c>
      <c r="BV20" s="192">
        <f t="shared" si="34"/>
        <v>2995.6</v>
      </c>
      <c r="BW20" s="127">
        <v>411.3</v>
      </c>
      <c r="BX20" s="127">
        <v>466.1</v>
      </c>
      <c r="BY20" s="127">
        <v>456.9</v>
      </c>
      <c r="BZ20" s="127">
        <v>535.7</v>
      </c>
      <c r="CA20" s="127">
        <v>526.7</v>
      </c>
      <c r="CB20" s="127">
        <v>570.5</v>
      </c>
      <c r="CC20" s="127">
        <v>638.5</v>
      </c>
      <c r="CD20" s="127">
        <v>684.7</v>
      </c>
      <c r="CE20" s="127">
        <v>871.6</v>
      </c>
      <c r="CF20" s="127">
        <v>1012.7</v>
      </c>
      <c r="CG20" s="127">
        <v>997.8</v>
      </c>
      <c r="CH20" s="127">
        <v>985.1</v>
      </c>
      <c r="CI20" s="192">
        <v>9733</v>
      </c>
      <c r="CJ20" s="343">
        <f t="shared" si="35"/>
        <v>1468.6</v>
      </c>
      <c r="CK20" s="343">
        <f t="shared" si="36"/>
        <v>2124.9</v>
      </c>
      <c r="CL20" s="343">
        <f t="shared" si="37"/>
        <v>3018.5</v>
      </c>
      <c r="CM20" s="343">
        <f t="shared" si="38"/>
        <v>3121.1</v>
      </c>
      <c r="CN20" s="328">
        <v>391.7</v>
      </c>
      <c r="CO20" s="328">
        <v>473.7</v>
      </c>
      <c r="CP20" s="328">
        <v>603.2</v>
      </c>
      <c r="CQ20" s="328">
        <v>609.2</v>
      </c>
      <c r="CR20" s="332">
        <v>668.7</v>
      </c>
      <c r="CS20" s="332">
        <v>847</v>
      </c>
      <c r="CT20" s="328">
        <v>884.9</v>
      </c>
      <c r="CU20" s="328">
        <v>948</v>
      </c>
      <c r="CV20" s="328">
        <v>1185.6</v>
      </c>
      <c r="CW20" s="328">
        <v>851</v>
      </c>
      <c r="CX20" s="328">
        <v>1076.5</v>
      </c>
      <c r="CY20" s="328">
        <v>1193.6</v>
      </c>
      <c r="CZ20" s="192">
        <f t="shared" si="18"/>
        <v>7820.5</v>
      </c>
      <c r="DA20" s="343">
        <f t="shared" si="2"/>
        <v>1574.3</v>
      </c>
      <c r="DB20" s="343">
        <f t="shared" si="3"/>
        <v>1056.8</v>
      </c>
      <c r="DC20" s="343">
        <f t="shared" si="4"/>
        <v>2035.6</v>
      </c>
      <c r="DD20" s="343">
        <f t="shared" si="5"/>
        <v>3153.8</v>
      </c>
      <c r="DE20" s="328">
        <v>589.8</v>
      </c>
      <c r="DF20" s="332">
        <v>508.8</v>
      </c>
      <c r="DG20" s="328">
        <v>475.7</v>
      </c>
      <c r="DH20" s="328">
        <v>284.2</v>
      </c>
      <c r="DI20" s="332">
        <v>355</v>
      </c>
      <c r="DJ20" s="332">
        <v>417.6</v>
      </c>
      <c r="DK20" s="328">
        <v>527.4</v>
      </c>
      <c r="DL20" s="328">
        <v>649.8</v>
      </c>
      <c r="DM20" s="328">
        <v>858.4</v>
      </c>
      <c r="DN20" s="328">
        <v>928.8</v>
      </c>
      <c r="DO20" s="328">
        <v>1100</v>
      </c>
      <c r="DP20" s="328">
        <v>1125</v>
      </c>
      <c r="DQ20" s="344">
        <v>7346.4</v>
      </c>
      <c r="DR20" s="332">
        <f t="shared" si="19"/>
        <v>1392.9</v>
      </c>
      <c r="DS20" s="332">
        <f t="shared" si="20"/>
        <v>1569.1</v>
      </c>
      <c r="DT20" s="332">
        <f t="shared" si="21"/>
        <v>1519.5</v>
      </c>
      <c r="DU20" s="332">
        <f t="shared" si="22"/>
        <v>2816.3</v>
      </c>
      <c r="DV20" s="359">
        <v>386.7</v>
      </c>
      <c r="DW20" s="332">
        <v>498.8</v>
      </c>
      <c r="DX20" s="332">
        <v>507.4</v>
      </c>
      <c r="DY20" s="343">
        <v>594.9</v>
      </c>
      <c r="DZ20" s="343">
        <v>504.6</v>
      </c>
      <c r="EA20" s="343">
        <v>469.6</v>
      </c>
      <c r="EB20" s="343">
        <v>460.7</v>
      </c>
      <c r="EC20" s="343">
        <v>476.7</v>
      </c>
      <c r="ED20" s="343">
        <v>582.1</v>
      </c>
      <c r="EE20" s="343">
        <v>891.7</v>
      </c>
      <c r="EF20" s="343">
        <v>1000.8</v>
      </c>
      <c r="EG20" s="343">
        <v>923.8</v>
      </c>
      <c r="EH20" s="343">
        <v>635.3</v>
      </c>
      <c r="EI20" s="343">
        <v>678.5</v>
      </c>
      <c r="EJ20" s="368">
        <v>528.2</v>
      </c>
      <c r="EK20" s="343">
        <v>795.4</v>
      </c>
      <c r="EL20" s="343">
        <v>587.3</v>
      </c>
    </row>
    <row r="21" spans="1:142" ht="12.75">
      <c r="A21" s="275" t="s">
        <v>113</v>
      </c>
      <c r="B21" s="294">
        <f t="shared" si="39"/>
        <v>2041.4</v>
      </c>
      <c r="C21" s="134">
        <f t="shared" si="28"/>
        <v>413.3</v>
      </c>
      <c r="D21" s="134">
        <f t="shared" si="23"/>
        <v>488.4</v>
      </c>
      <c r="E21" s="134">
        <f t="shared" si="24"/>
        <v>508.6</v>
      </c>
      <c r="F21" s="134">
        <f t="shared" si="25"/>
        <v>631.1</v>
      </c>
      <c r="G21" s="127">
        <v>132.8</v>
      </c>
      <c r="H21" s="127">
        <v>127.9</v>
      </c>
      <c r="I21" s="127">
        <v>152.6</v>
      </c>
      <c r="J21" s="134">
        <v>166.8</v>
      </c>
      <c r="K21" s="134">
        <v>149.1</v>
      </c>
      <c r="L21" s="134">
        <v>172.5</v>
      </c>
      <c r="M21" s="134">
        <v>169</v>
      </c>
      <c r="N21" s="134">
        <v>167.6</v>
      </c>
      <c r="O21" s="127">
        <v>172</v>
      </c>
      <c r="P21" s="134">
        <v>184.4</v>
      </c>
      <c r="Q21" s="127">
        <v>211.8</v>
      </c>
      <c r="R21" s="134">
        <v>234.9</v>
      </c>
      <c r="S21" s="181">
        <v>2066.1</v>
      </c>
      <c r="T21" s="134">
        <f t="shared" si="6"/>
        <v>304.7</v>
      </c>
      <c r="U21" s="134">
        <f t="shared" si="7"/>
        <v>413.6</v>
      </c>
      <c r="V21" s="134">
        <f t="shared" si="8"/>
        <v>593.6</v>
      </c>
      <c r="W21" s="134">
        <f t="shared" si="9"/>
        <v>754.2</v>
      </c>
      <c r="X21" s="127">
        <v>79.9</v>
      </c>
      <c r="Y21" s="127">
        <v>99.9</v>
      </c>
      <c r="Z21" s="127">
        <v>124.9</v>
      </c>
      <c r="AA21" s="134">
        <v>139.8</v>
      </c>
      <c r="AB21" s="134">
        <v>130.5</v>
      </c>
      <c r="AC21" s="134">
        <v>143.3</v>
      </c>
      <c r="AD21" s="134">
        <v>133.8</v>
      </c>
      <c r="AE21" s="134">
        <v>264.2</v>
      </c>
      <c r="AF21" s="127">
        <v>195.6</v>
      </c>
      <c r="AG21" s="134">
        <v>239.8</v>
      </c>
      <c r="AH21" s="127">
        <v>238.5</v>
      </c>
      <c r="AI21" s="127">
        <v>275.9</v>
      </c>
      <c r="AJ21" s="134">
        <f t="shared" si="10"/>
        <v>2012.9</v>
      </c>
      <c r="AK21" s="134">
        <f t="shared" si="11"/>
        <v>379.6</v>
      </c>
      <c r="AL21" s="134">
        <f t="shared" si="12"/>
        <v>503.4</v>
      </c>
      <c r="AM21" s="134">
        <f t="shared" si="26"/>
        <v>504.3</v>
      </c>
      <c r="AN21" s="134">
        <f t="shared" si="1"/>
        <v>625.6</v>
      </c>
      <c r="AO21" s="127">
        <v>111.3</v>
      </c>
      <c r="AP21" s="127">
        <v>120.3</v>
      </c>
      <c r="AQ21" s="127">
        <v>148</v>
      </c>
      <c r="AR21" s="127">
        <v>175.2</v>
      </c>
      <c r="AS21" s="127">
        <v>149</v>
      </c>
      <c r="AT21" s="127">
        <v>179.2</v>
      </c>
      <c r="AU21" s="127">
        <v>183.4</v>
      </c>
      <c r="AV21" s="127">
        <v>156.9</v>
      </c>
      <c r="AW21" s="127">
        <v>164</v>
      </c>
      <c r="AX21" s="127">
        <v>152.4</v>
      </c>
      <c r="AY21" s="127">
        <v>193.3</v>
      </c>
      <c r="AZ21" s="127">
        <v>279.9</v>
      </c>
      <c r="BA21" s="192">
        <f t="shared" si="27"/>
        <v>2088.4</v>
      </c>
      <c r="BB21" s="192">
        <f t="shared" si="13"/>
        <v>351.9</v>
      </c>
      <c r="BC21" s="192">
        <f t="shared" si="14"/>
        <v>457.3</v>
      </c>
      <c r="BD21" s="192">
        <f t="shared" si="15"/>
        <v>585.6</v>
      </c>
      <c r="BE21" s="192">
        <f t="shared" si="16"/>
        <v>693.6</v>
      </c>
      <c r="BF21" s="127">
        <v>104.5</v>
      </c>
      <c r="BG21" s="318">
        <v>115.1</v>
      </c>
      <c r="BH21" s="127">
        <v>132.3</v>
      </c>
      <c r="BI21" s="318">
        <v>136.7</v>
      </c>
      <c r="BJ21" s="318">
        <v>146.6</v>
      </c>
      <c r="BK21" s="318">
        <v>174</v>
      </c>
      <c r="BL21" s="318">
        <v>165.8</v>
      </c>
      <c r="BM21" s="318">
        <v>195.3</v>
      </c>
      <c r="BN21" s="318">
        <v>224.5</v>
      </c>
      <c r="BO21" s="318">
        <v>189.2</v>
      </c>
      <c r="BP21" s="318">
        <v>253.5</v>
      </c>
      <c r="BQ21" s="127">
        <v>250.9</v>
      </c>
      <c r="BR21" s="192">
        <f t="shared" si="30"/>
        <v>2201.8</v>
      </c>
      <c r="BS21" s="192">
        <f t="shared" si="31"/>
        <v>478.4</v>
      </c>
      <c r="BT21" s="192">
        <f t="shared" si="32"/>
        <v>504</v>
      </c>
      <c r="BU21" s="192">
        <f t="shared" si="33"/>
        <v>598.9</v>
      </c>
      <c r="BV21" s="192">
        <f t="shared" si="34"/>
        <v>620.5</v>
      </c>
      <c r="BW21" s="127">
        <v>131.2</v>
      </c>
      <c r="BX21" s="127">
        <v>126.7</v>
      </c>
      <c r="BY21" s="127">
        <v>220.5</v>
      </c>
      <c r="BZ21" s="127">
        <v>175.4</v>
      </c>
      <c r="CA21" s="127">
        <v>152.1</v>
      </c>
      <c r="CB21" s="127">
        <v>176.5</v>
      </c>
      <c r="CC21" s="127">
        <v>206.4</v>
      </c>
      <c r="CD21" s="127">
        <v>156.1</v>
      </c>
      <c r="CE21" s="127">
        <v>236.4</v>
      </c>
      <c r="CF21" s="127">
        <v>186.5</v>
      </c>
      <c r="CG21" s="127">
        <v>192.3</v>
      </c>
      <c r="CH21" s="127">
        <v>241.7</v>
      </c>
      <c r="CI21" s="192">
        <v>2276.2</v>
      </c>
      <c r="CJ21" s="343">
        <f t="shared" si="35"/>
        <v>449</v>
      </c>
      <c r="CK21" s="343">
        <f t="shared" si="36"/>
        <v>513.5</v>
      </c>
      <c r="CL21" s="343">
        <f t="shared" si="37"/>
        <v>631.6</v>
      </c>
      <c r="CM21" s="343">
        <f t="shared" si="38"/>
        <v>682.1</v>
      </c>
      <c r="CN21" s="328">
        <v>165.6</v>
      </c>
      <c r="CO21" s="328">
        <v>120.1</v>
      </c>
      <c r="CP21" s="328">
        <v>163.3</v>
      </c>
      <c r="CQ21" s="328">
        <v>175.1</v>
      </c>
      <c r="CR21" s="332">
        <v>167</v>
      </c>
      <c r="CS21" s="332">
        <v>171.4</v>
      </c>
      <c r="CT21" s="328">
        <v>182.4</v>
      </c>
      <c r="CU21" s="328">
        <v>224.3</v>
      </c>
      <c r="CV21" s="328">
        <v>224.9</v>
      </c>
      <c r="CW21" s="328">
        <v>190.9</v>
      </c>
      <c r="CX21" s="328">
        <v>216.6</v>
      </c>
      <c r="CY21" s="328">
        <v>274.6</v>
      </c>
      <c r="CZ21" s="192">
        <f t="shared" si="18"/>
        <v>1916</v>
      </c>
      <c r="DA21" s="343">
        <f t="shared" si="2"/>
        <v>357.1</v>
      </c>
      <c r="DB21" s="343">
        <f t="shared" si="3"/>
        <v>359.7</v>
      </c>
      <c r="DC21" s="343">
        <f t="shared" si="4"/>
        <v>541.7</v>
      </c>
      <c r="DD21" s="343">
        <f t="shared" si="5"/>
        <v>657.5</v>
      </c>
      <c r="DE21" s="328">
        <v>122.7</v>
      </c>
      <c r="DF21" s="332">
        <v>135.9</v>
      </c>
      <c r="DG21" s="328">
        <v>98.5</v>
      </c>
      <c r="DH21" s="328">
        <v>71.8</v>
      </c>
      <c r="DI21" s="332">
        <v>108</v>
      </c>
      <c r="DJ21" s="332">
        <v>179.9</v>
      </c>
      <c r="DK21" s="328">
        <v>171.9</v>
      </c>
      <c r="DL21" s="328">
        <v>174.9</v>
      </c>
      <c r="DM21" s="328">
        <v>194.9</v>
      </c>
      <c r="DN21" s="328">
        <v>184.6</v>
      </c>
      <c r="DO21" s="328">
        <v>199.4</v>
      </c>
      <c r="DP21" s="328">
        <v>273.5</v>
      </c>
      <c r="DQ21" s="344">
        <v>2389.3</v>
      </c>
      <c r="DR21" s="332">
        <f t="shared" si="19"/>
        <v>475.1</v>
      </c>
      <c r="DS21" s="332">
        <f t="shared" si="20"/>
        <v>505.3</v>
      </c>
      <c r="DT21" s="332">
        <f t="shared" si="21"/>
        <v>596.5</v>
      </c>
      <c r="DU21" s="332">
        <f t="shared" si="22"/>
        <v>794.8</v>
      </c>
      <c r="DV21" s="359">
        <v>157.7</v>
      </c>
      <c r="DW21" s="332">
        <v>155.2</v>
      </c>
      <c r="DX21" s="332">
        <v>162.2</v>
      </c>
      <c r="DY21" s="350">
        <v>165.1</v>
      </c>
      <c r="DZ21" s="343">
        <v>177.1</v>
      </c>
      <c r="EA21" s="350">
        <v>163.1</v>
      </c>
      <c r="EB21" s="343">
        <v>202.3</v>
      </c>
      <c r="EC21" s="343">
        <v>184.7</v>
      </c>
      <c r="ED21" s="343">
        <v>209.5</v>
      </c>
      <c r="EE21" s="343">
        <v>220.6</v>
      </c>
      <c r="EF21" s="343">
        <v>270.1</v>
      </c>
      <c r="EG21" s="343">
        <v>304.1</v>
      </c>
      <c r="EH21" s="343">
        <v>170.4</v>
      </c>
      <c r="EI21" s="343">
        <v>188</v>
      </c>
      <c r="EJ21" s="368">
        <v>163.7</v>
      </c>
      <c r="EK21" s="343">
        <v>218.4</v>
      </c>
      <c r="EL21" s="343">
        <v>251</v>
      </c>
    </row>
    <row r="22" spans="1:142" ht="12.75">
      <c r="A22" s="275" t="s">
        <v>114</v>
      </c>
      <c r="B22" s="294">
        <f t="shared" si="39"/>
        <v>3198.2</v>
      </c>
      <c r="C22" s="134">
        <f t="shared" si="28"/>
        <v>141.1</v>
      </c>
      <c r="D22" s="134">
        <f t="shared" si="23"/>
        <v>396.3</v>
      </c>
      <c r="E22" s="134">
        <f t="shared" si="24"/>
        <v>983.9</v>
      </c>
      <c r="F22" s="134">
        <f t="shared" si="25"/>
        <v>1676.9</v>
      </c>
      <c r="G22" s="127">
        <v>53.5</v>
      </c>
      <c r="H22" s="127">
        <v>32.4</v>
      </c>
      <c r="I22" s="127">
        <v>55.2</v>
      </c>
      <c r="J22" s="134">
        <v>67.3</v>
      </c>
      <c r="K22" s="134">
        <v>84.8</v>
      </c>
      <c r="L22" s="134">
        <v>244.2</v>
      </c>
      <c r="M22" s="134">
        <v>107.9</v>
      </c>
      <c r="N22" s="134">
        <v>389.2</v>
      </c>
      <c r="O22" s="127">
        <v>486.8</v>
      </c>
      <c r="P22" s="134">
        <v>481.2</v>
      </c>
      <c r="Q22" s="127">
        <v>537.9</v>
      </c>
      <c r="R22" s="134">
        <v>657.8</v>
      </c>
      <c r="S22" s="181">
        <v>6528.2</v>
      </c>
      <c r="T22" s="134">
        <f t="shared" si="6"/>
        <v>1789.1</v>
      </c>
      <c r="U22" s="134">
        <f t="shared" si="7"/>
        <v>1578.4</v>
      </c>
      <c r="V22" s="134">
        <f t="shared" si="8"/>
        <v>1627</v>
      </c>
      <c r="W22" s="134">
        <f t="shared" si="9"/>
        <v>1533.7</v>
      </c>
      <c r="X22" s="127">
        <v>517.9</v>
      </c>
      <c r="Y22" s="127">
        <v>681.3</v>
      </c>
      <c r="Z22" s="127">
        <v>589.9</v>
      </c>
      <c r="AA22" s="134">
        <v>906.6</v>
      </c>
      <c r="AB22" s="134">
        <v>207.5</v>
      </c>
      <c r="AC22" s="134">
        <v>464.3</v>
      </c>
      <c r="AD22" s="134">
        <v>589.3</v>
      </c>
      <c r="AE22" s="134">
        <v>386.8</v>
      </c>
      <c r="AF22" s="127">
        <v>650.9</v>
      </c>
      <c r="AG22" s="134">
        <v>219.5</v>
      </c>
      <c r="AH22" s="127">
        <v>867.7</v>
      </c>
      <c r="AI22" s="127">
        <v>446.5</v>
      </c>
      <c r="AJ22" s="134">
        <f t="shared" si="10"/>
        <v>7158.1</v>
      </c>
      <c r="AK22" s="134">
        <f t="shared" si="11"/>
        <v>1239.2</v>
      </c>
      <c r="AL22" s="134">
        <f t="shared" si="12"/>
        <v>1443.6</v>
      </c>
      <c r="AM22" s="134">
        <f t="shared" si="26"/>
        <v>1671.4</v>
      </c>
      <c r="AN22" s="134">
        <f t="shared" si="1"/>
        <v>2803.9</v>
      </c>
      <c r="AO22" s="127">
        <v>266.4</v>
      </c>
      <c r="AP22" s="127">
        <v>371.9</v>
      </c>
      <c r="AQ22" s="127">
        <v>600.9</v>
      </c>
      <c r="AR22" s="127">
        <v>401</v>
      </c>
      <c r="AS22" s="127">
        <v>495.7</v>
      </c>
      <c r="AT22" s="127">
        <v>546.9</v>
      </c>
      <c r="AU22" s="127">
        <v>658.5</v>
      </c>
      <c r="AV22" s="127">
        <v>869.5</v>
      </c>
      <c r="AW22" s="127">
        <v>143.4</v>
      </c>
      <c r="AX22" s="127">
        <v>888</v>
      </c>
      <c r="AY22" s="127">
        <v>674.2</v>
      </c>
      <c r="AZ22" s="127">
        <v>1241.7</v>
      </c>
      <c r="BA22" s="192">
        <f t="shared" si="27"/>
        <v>10715.2</v>
      </c>
      <c r="BB22" s="192">
        <f t="shared" si="13"/>
        <v>2855.8</v>
      </c>
      <c r="BC22" s="192">
        <f t="shared" si="14"/>
        <v>2211.4</v>
      </c>
      <c r="BD22" s="192">
        <f t="shared" si="15"/>
        <v>2762.2</v>
      </c>
      <c r="BE22" s="192">
        <f t="shared" si="16"/>
        <v>2885.8</v>
      </c>
      <c r="BF22" s="127">
        <v>1042.5</v>
      </c>
      <c r="BG22" s="318">
        <v>843.2</v>
      </c>
      <c r="BH22" s="127">
        <v>970.1</v>
      </c>
      <c r="BI22" s="318">
        <v>927.8</v>
      </c>
      <c r="BJ22" s="318">
        <v>494.7</v>
      </c>
      <c r="BK22" s="318">
        <v>788.9</v>
      </c>
      <c r="BL22" s="318">
        <v>972.3</v>
      </c>
      <c r="BM22" s="318">
        <v>781</v>
      </c>
      <c r="BN22" s="318">
        <v>1008.9</v>
      </c>
      <c r="BO22" s="318">
        <v>601.5</v>
      </c>
      <c r="BP22" s="318">
        <v>1222.9</v>
      </c>
      <c r="BQ22" s="127">
        <v>1061.4</v>
      </c>
      <c r="BR22" s="192">
        <f t="shared" si="30"/>
        <v>13275.3</v>
      </c>
      <c r="BS22" s="192">
        <f t="shared" si="31"/>
        <v>3615.7</v>
      </c>
      <c r="BT22" s="192">
        <f t="shared" si="32"/>
        <v>4198.6</v>
      </c>
      <c r="BU22" s="192">
        <f t="shared" si="33"/>
        <v>3535.8</v>
      </c>
      <c r="BV22" s="192">
        <f t="shared" si="34"/>
        <v>1925.2</v>
      </c>
      <c r="BW22" s="127">
        <v>1287</v>
      </c>
      <c r="BX22" s="127">
        <v>1218</v>
      </c>
      <c r="BY22" s="127">
        <v>1110.7</v>
      </c>
      <c r="BZ22" s="127">
        <v>1158.7</v>
      </c>
      <c r="CA22" s="127">
        <v>1357.6</v>
      </c>
      <c r="CB22" s="127">
        <v>1682.3</v>
      </c>
      <c r="CC22" s="127">
        <v>1321.7</v>
      </c>
      <c r="CD22" s="127">
        <v>1331.7</v>
      </c>
      <c r="CE22" s="127">
        <v>882.4</v>
      </c>
      <c r="CF22" s="127">
        <v>489.1</v>
      </c>
      <c r="CG22" s="127">
        <v>634.5</v>
      </c>
      <c r="CH22" s="127">
        <v>801.6</v>
      </c>
      <c r="CI22" s="192">
        <v>5480.8</v>
      </c>
      <c r="CJ22" s="343">
        <f t="shared" si="35"/>
        <v>1497.7</v>
      </c>
      <c r="CK22" s="343">
        <f t="shared" si="36"/>
        <v>2171.5</v>
      </c>
      <c r="CL22" s="343">
        <f t="shared" si="37"/>
        <v>549.5</v>
      </c>
      <c r="CM22" s="343">
        <f t="shared" si="38"/>
        <v>1262</v>
      </c>
      <c r="CN22" s="328">
        <v>563.5</v>
      </c>
      <c r="CO22" s="328">
        <v>372.7</v>
      </c>
      <c r="CP22" s="328">
        <v>561.5</v>
      </c>
      <c r="CQ22" s="328">
        <v>619.7</v>
      </c>
      <c r="CR22" s="332">
        <v>1024.4</v>
      </c>
      <c r="CS22" s="332">
        <v>527.4</v>
      </c>
      <c r="CT22" s="328">
        <v>155.5</v>
      </c>
      <c r="CU22" s="328">
        <v>240.2</v>
      </c>
      <c r="CV22" s="328">
        <v>153.8</v>
      </c>
      <c r="CW22" s="328">
        <v>155.2</v>
      </c>
      <c r="CX22" s="328">
        <v>152</v>
      </c>
      <c r="CY22" s="328">
        <v>954.8</v>
      </c>
      <c r="CZ22" s="192">
        <f t="shared" si="18"/>
        <v>1180.9</v>
      </c>
      <c r="DA22" s="343">
        <f t="shared" si="2"/>
        <v>415.5</v>
      </c>
      <c r="DB22" s="343">
        <f t="shared" si="3"/>
        <v>262.1</v>
      </c>
      <c r="DC22" s="343">
        <f t="shared" si="4"/>
        <v>239.4</v>
      </c>
      <c r="DD22" s="343">
        <f t="shared" si="5"/>
        <v>263.9</v>
      </c>
      <c r="DE22" s="328">
        <v>216.4</v>
      </c>
      <c r="DF22" s="332">
        <v>92.1</v>
      </c>
      <c r="DG22" s="328">
        <v>107</v>
      </c>
      <c r="DH22" s="328">
        <v>57.2</v>
      </c>
      <c r="DI22" s="332">
        <v>119.7</v>
      </c>
      <c r="DJ22" s="332">
        <v>85.2</v>
      </c>
      <c r="DK22" s="328">
        <v>89.6</v>
      </c>
      <c r="DL22" s="328">
        <v>52.9</v>
      </c>
      <c r="DM22" s="328">
        <v>96.9</v>
      </c>
      <c r="DN22" s="328">
        <v>88.7</v>
      </c>
      <c r="DO22" s="328">
        <v>45.6</v>
      </c>
      <c r="DP22" s="328">
        <v>129.6</v>
      </c>
      <c r="DQ22" s="344">
        <v>3493.4</v>
      </c>
      <c r="DR22" s="332">
        <f t="shared" si="19"/>
        <v>370.5</v>
      </c>
      <c r="DS22" s="332">
        <f t="shared" si="20"/>
        <v>728.4</v>
      </c>
      <c r="DT22" s="332">
        <f t="shared" si="21"/>
        <v>1347.2</v>
      </c>
      <c r="DU22" s="332">
        <f t="shared" si="22"/>
        <v>1297</v>
      </c>
      <c r="DV22" s="359">
        <v>122.4</v>
      </c>
      <c r="DW22" s="332">
        <v>115.6</v>
      </c>
      <c r="DX22" s="332">
        <v>132.5</v>
      </c>
      <c r="DY22" s="343">
        <v>218.8</v>
      </c>
      <c r="DZ22" s="343">
        <v>248.5</v>
      </c>
      <c r="EA22" s="343">
        <v>261.1</v>
      </c>
      <c r="EB22" s="343">
        <v>390.5</v>
      </c>
      <c r="EC22" s="343">
        <v>437</v>
      </c>
      <c r="ED22" s="343">
        <v>519.7</v>
      </c>
      <c r="EE22" s="343">
        <v>411.4</v>
      </c>
      <c r="EF22" s="343">
        <v>309.5</v>
      </c>
      <c r="EG22" s="343">
        <v>576.1</v>
      </c>
      <c r="EH22" s="343">
        <v>343.6</v>
      </c>
      <c r="EI22" s="343">
        <v>435.6</v>
      </c>
      <c r="EJ22" s="368">
        <v>136.7</v>
      </c>
      <c r="EK22" s="343">
        <v>511.3</v>
      </c>
      <c r="EL22" s="343">
        <v>376</v>
      </c>
    </row>
    <row r="23" spans="1:142" ht="12.75">
      <c r="A23" s="275" t="s">
        <v>115</v>
      </c>
      <c r="B23" s="294">
        <f t="shared" si="39"/>
        <v>1216.9</v>
      </c>
      <c r="C23" s="134">
        <f t="shared" si="28"/>
        <v>231.3</v>
      </c>
      <c r="D23" s="134">
        <f t="shared" si="23"/>
        <v>328.9</v>
      </c>
      <c r="E23" s="134">
        <f t="shared" si="24"/>
        <v>360.1</v>
      </c>
      <c r="F23" s="134">
        <f t="shared" si="25"/>
        <v>296.6</v>
      </c>
      <c r="G23" s="130">
        <v>74.3</v>
      </c>
      <c r="H23" s="130">
        <v>59.8</v>
      </c>
      <c r="I23" s="130">
        <v>97.2</v>
      </c>
      <c r="J23" s="134">
        <v>120.4</v>
      </c>
      <c r="K23" s="134">
        <v>122.1</v>
      </c>
      <c r="L23" s="134">
        <v>86.4</v>
      </c>
      <c r="M23" s="134">
        <v>122.6</v>
      </c>
      <c r="N23" s="134">
        <v>116.2</v>
      </c>
      <c r="O23" s="130">
        <v>121.3</v>
      </c>
      <c r="P23" s="134">
        <v>109</v>
      </c>
      <c r="Q23" s="130">
        <v>95.7</v>
      </c>
      <c r="R23" s="134">
        <v>91.9</v>
      </c>
      <c r="S23" s="181">
        <v>779.2</v>
      </c>
      <c r="T23" s="134">
        <f t="shared" si="6"/>
        <v>127.4</v>
      </c>
      <c r="U23" s="134">
        <f t="shared" si="7"/>
        <v>229</v>
      </c>
      <c r="V23" s="134">
        <f t="shared" si="8"/>
        <v>232.7</v>
      </c>
      <c r="W23" s="134">
        <f t="shared" si="9"/>
        <v>190.1</v>
      </c>
      <c r="X23" s="130">
        <v>30.2</v>
      </c>
      <c r="Y23" s="130">
        <v>47.1</v>
      </c>
      <c r="Z23" s="130">
        <v>50.1</v>
      </c>
      <c r="AA23" s="134">
        <v>70.9</v>
      </c>
      <c r="AB23" s="134">
        <v>75.3</v>
      </c>
      <c r="AC23" s="134">
        <v>82.8</v>
      </c>
      <c r="AD23" s="134">
        <v>80.7</v>
      </c>
      <c r="AE23" s="134">
        <v>72.2</v>
      </c>
      <c r="AF23" s="130">
        <v>79.8</v>
      </c>
      <c r="AG23" s="134">
        <v>93.7</v>
      </c>
      <c r="AH23" s="130">
        <v>51</v>
      </c>
      <c r="AI23" s="127">
        <v>45.4</v>
      </c>
      <c r="AJ23" s="134">
        <f t="shared" si="10"/>
        <v>485.8</v>
      </c>
      <c r="AK23" s="134">
        <f t="shared" si="11"/>
        <v>82.8</v>
      </c>
      <c r="AL23" s="134">
        <f t="shared" si="12"/>
        <v>129.2</v>
      </c>
      <c r="AM23" s="134">
        <f t="shared" si="26"/>
        <v>146.1</v>
      </c>
      <c r="AN23" s="134">
        <f t="shared" si="1"/>
        <v>127.7</v>
      </c>
      <c r="AO23" s="127">
        <v>18</v>
      </c>
      <c r="AP23" s="127">
        <v>24.1</v>
      </c>
      <c r="AQ23" s="127">
        <v>40.7</v>
      </c>
      <c r="AR23" s="127">
        <v>46.9</v>
      </c>
      <c r="AS23" s="127">
        <v>39.5</v>
      </c>
      <c r="AT23" s="127">
        <v>42.8</v>
      </c>
      <c r="AU23" s="127">
        <v>36.8</v>
      </c>
      <c r="AV23" s="127">
        <v>48.4</v>
      </c>
      <c r="AW23" s="127">
        <v>60.9</v>
      </c>
      <c r="AX23" s="127">
        <v>53.5</v>
      </c>
      <c r="AY23" s="127">
        <v>38.7</v>
      </c>
      <c r="AZ23" s="127">
        <v>35.5</v>
      </c>
      <c r="BA23" s="192">
        <f t="shared" si="27"/>
        <v>596</v>
      </c>
      <c r="BB23" s="192">
        <f t="shared" si="13"/>
        <v>70.2</v>
      </c>
      <c r="BC23" s="192">
        <f t="shared" si="14"/>
        <v>186.7</v>
      </c>
      <c r="BD23" s="192">
        <f t="shared" si="15"/>
        <v>170.2</v>
      </c>
      <c r="BE23" s="192">
        <f t="shared" si="16"/>
        <v>168.9</v>
      </c>
      <c r="BF23" s="127">
        <v>10.5</v>
      </c>
      <c r="BG23" s="318">
        <v>23</v>
      </c>
      <c r="BH23" s="132">
        <v>36.7</v>
      </c>
      <c r="BI23" s="318">
        <v>73.9</v>
      </c>
      <c r="BJ23" s="318">
        <v>64.7</v>
      </c>
      <c r="BK23" s="318">
        <v>48.1</v>
      </c>
      <c r="BL23" s="318">
        <v>55.4</v>
      </c>
      <c r="BM23" s="318">
        <v>50</v>
      </c>
      <c r="BN23" s="318">
        <v>64.8</v>
      </c>
      <c r="BO23" s="318">
        <v>56.1</v>
      </c>
      <c r="BP23" s="318">
        <v>52</v>
      </c>
      <c r="BQ23" s="127">
        <v>60.8</v>
      </c>
      <c r="BR23" s="192">
        <f t="shared" si="30"/>
        <v>804.1</v>
      </c>
      <c r="BS23" s="192">
        <f t="shared" si="31"/>
        <v>137.7</v>
      </c>
      <c r="BT23" s="192">
        <f t="shared" si="32"/>
        <v>187.6</v>
      </c>
      <c r="BU23" s="192">
        <f t="shared" si="33"/>
        <v>277</v>
      </c>
      <c r="BV23" s="192">
        <f t="shared" si="34"/>
        <v>201.8</v>
      </c>
      <c r="BW23" s="127">
        <v>50.4</v>
      </c>
      <c r="BX23" s="127">
        <v>38.4</v>
      </c>
      <c r="BY23" s="127">
        <v>48.9</v>
      </c>
      <c r="BZ23" s="127">
        <v>65.3</v>
      </c>
      <c r="CA23" s="127">
        <v>53.2</v>
      </c>
      <c r="CB23" s="127">
        <v>69.1</v>
      </c>
      <c r="CC23" s="127">
        <v>97.2</v>
      </c>
      <c r="CD23" s="127">
        <v>84.2</v>
      </c>
      <c r="CE23" s="127">
        <v>95.6</v>
      </c>
      <c r="CF23" s="127">
        <v>66.5</v>
      </c>
      <c r="CG23" s="127">
        <v>59.7</v>
      </c>
      <c r="CH23" s="127">
        <v>75.6</v>
      </c>
      <c r="CI23" s="192">
        <v>599.1</v>
      </c>
      <c r="CJ23" s="343">
        <f t="shared" si="35"/>
        <v>111.4</v>
      </c>
      <c r="CK23" s="343">
        <f t="shared" si="36"/>
        <v>150.8</v>
      </c>
      <c r="CL23" s="343">
        <f t="shared" si="37"/>
        <v>195.2</v>
      </c>
      <c r="CM23" s="343">
        <f t="shared" si="38"/>
        <v>141.7</v>
      </c>
      <c r="CN23" s="328">
        <v>40.1</v>
      </c>
      <c r="CO23" s="328">
        <v>32.1</v>
      </c>
      <c r="CP23" s="328">
        <v>39.2</v>
      </c>
      <c r="CQ23" s="328">
        <v>40.1</v>
      </c>
      <c r="CR23" s="332">
        <v>42.5</v>
      </c>
      <c r="CS23" s="332">
        <v>68.2</v>
      </c>
      <c r="CT23" s="328">
        <v>81.4</v>
      </c>
      <c r="CU23" s="328">
        <v>62</v>
      </c>
      <c r="CV23" s="328">
        <v>51.8</v>
      </c>
      <c r="CW23" s="328">
        <v>37.7</v>
      </c>
      <c r="CX23" s="328">
        <v>51.8</v>
      </c>
      <c r="CY23" s="328">
        <v>52.2</v>
      </c>
      <c r="CZ23" s="192">
        <f t="shared" si="18"/>
        <v>556</v>
      </c>
      <c r="DA23" s="343">
        <f t="shared" si="2"/>
        <v>103.6</v>
      </c>
      <c r="DB23" s="343">
        <f t="shared" si="3"/>
        <v>162.5</v>
      </c>
      <c r="DC23" s="343">
        <f t="shared" si="4"/>
        <v>178.2</v>
      </c>
      <c r="DD23" s="343">
        <f t="shared" si="5"/>
        <v>111.7</v>
      </c>
      <c r="DE23" s="328">
        <v>33.7</v>
      </c>
      <c r="DF23" s="332">
        <v>35.6</v>
      </c>
      <c r="DG23" s="328">
        <v>34.3</v>
      </c>
      <c r="DH23" s="328">
        <v>52.9</v>
      </c>
      <c r="DI23" s="332">
        <v>51.6</v>
      </c>
      <c r="DJ23" s="332">
        <v>58</v>
      </c>
      <c r="DK23" s="328">
        <v>63.6</v>
      </c>
      <c r="DL23" s="328">
        <v>57.3</v>
      </c>
      <c r="DM23" s="328">
        <v>57.3</v>
      </c>
      <c r="DN23" s="328">
        <v>41.9</v>
      </c>
      <c r="DO23" s="328">
        <v>35.4</v>
      </c>
      <c r="DP23" s="328">
        <v>34.4</v>
      </c>
      <c r="DQ23" s="344">
        <v>536.3</v>
      </c>
      <c r="DR23" s="332">
        <f t="shared" si="19"/>
        <v>109.8</v>
      </c>
      <c r="DS23" s="332">
        <f t="shared" si="20"/>
        <v>130.9</v>
      </c>
      <c r="DT23" s="332">
        <f t="shared" si="21"/>
        <v>136.8</v>
      </c>
      <c r="DU23" s="332">
        <f t="shared" si="22"/>
        <v>146.3</v>
      </c>
      <c r="DV23" s="359">
        <v>26.8</v>
      </c>
      <c r="DW23" s="332">
        <v>31.2</v>
      </c>
      <c r="DX23" s="332">
        <v>51.8</v>
      </c>
      <c r="DY23" s="350">
        <v>41.1</v>
      </c>
      <c r="DZ23" s="343">
        <v>40.4</v>
      </c>
      <c r="EA23" s="350">
        <v>49.4</v>
      </c>
      <c r="EB23" s="343">
        <v>43</v>
      </c>
      <c r="EC23" s="343">
        <v>50.5</v>
      </c>
      <c r="ED23" s="343">
        <v>43.3</v>
      </c>
      <c r="EE23" s="343">
        <v>49</v>
      </c>
      <c r="EF23" s="343">
        <v>41.1</v>
      </c>
      <c r="EG23" s="343">
        <v>56.2</v>
      </c>
      <c r="EH23" s="343">
        <v>44.8</v>
      </c>
      <c r="EI23" s="343">
        <v>61.6</v>
      </c>
      <c r="EJ23" s="368">
        <v>63.7</v>
      </c>
      <c r="EK23" s="343">
        <v>65.5</v>
      </c>
      <c r="EL23" s="343">
        <v>48.7</v>
      </c>
    </row>
    <row r="24" spans="1:142" ht="12.75">
      <c r="A24" s="275" t="s">
        <v>116</v>
      </c>
      <c r="B24" s="294">
        <f t="shared" si="39"/>
        <v>173.9</v>
      </c>
      <c r="C24" s="134">
        <f t="shared" si="28"/>
        <v>37.9</v>
      </c>
      <c r="D24" s="134">
        <f t="shared" si="23"/>
        <v>39.3</v>
      </c>
      <c r="E24" s="134">
        <f t="shared" si="24"/>
        <v>47.1</v>
      </c>
      <c r="F24" s="134">
        <f t="shared" si="25"/>
        <v>49.6</v>
      </c>
      <c r="G24" s="127">
        <v>12.1</v>
      </c>
      <c r="H24" s="127">
        <v>13.3</v>
      </c>
      <c r="I24" s="127">
        <v>12.5</v>
      </c>
      <c r="J24" s="134">
        <v>10.2</v>
      </c>
      <c r="K24" s="134">
        <v>10.3</v>
      </c>
      <c r="L24" s="134">
        <v>18.8</v>
      </c>
      <c r="M24" s="134">
        <v>11</v>
      </c>
      <c r="N24" s="134">
        <v>13.5</v>
      </c>
      <c r="O24" s="127">
        <v>22.6</v>
      </c>
      <c r="P24" s="134">
        <v>14.2</v>
      </c>
      <c r="Q24" s="127">
        <v>11.7</v>
      </c>
      <c r="R24" s="134">
        <v>23.7</v>
      </c>
      <c r="S24" s="181">
        <v>228.1</v>
      </c>
      <c r="T24" s="134">
        <f t="shared" si="6"/>
        <v>44.4</v>
      </c>
      <c r="U24" s="134">
        <f t="shared" si="7"/>
        <v>53</v>
      </c>
      <c r="V24" s="134">
        <f t="shared" si="8"/>
        <v>55.8</v>
      </c>
      <c r="W24" s="134">
        <f t="shared" si="9"/>
        <v>74.9</v>
      </c>
      <c r="X24" s="127">
        <v>14.3</v>
      </c>
      <c r="Y24" s="127">
        <v>12.8</v>
      </c>
      <c r="Z24" s="127">
        <v>17.3</v>
      </c>
      <c r="AA24" s="134">
        <v>15.4</v>
      </c>
      <c r="AB24" s="134">
        <v>18.2</v>
      </c>
      <c r="AC24" s="134">
        <v>19.4</v>
      </c>
      <c r="AD24" s="134">
        <v>17.3</v>
      </c>
      <c r="AE24" s="134">
        <v>18.1</v>
      </c>
      <c r="AF24" s="127">
        <v>20.4</v>
      </c>
      <c r="AG24" s="134">
        <v>23.4</v>
      </c>
      <c r="AH24" s="127">
        <v>24.3</v>
      </c>
      <c r="AI24" s="127">
        <v>27.2</v>
      </c>
      <c r="AJ24" s="134">
        <f t="shared" si="10"/>
        <v>228.9</v>
      </c>
      <c r="AK24" s="134">
        <f t="shared" si="11"/>
        <v>42.9</v>
      </c>
      <c r="AL24" s="134">
        <f t="shared" si="12"/>
        <v>40</v>
      </c>
      <c r="AM24" s="134">
        <f t="shared" si="26"/>
        <v>53.5</v>
      </c>
      <c r="AN24" s="134">
        <f t="shared" si="1"/>
        <v>92.5</v>
      </c>
      <c r="AO24" s="127">
        <v>16.9</v>
      </c>
      <c r="AP24" s="127">
        <v>15.8</v>
      </c>
      <c r="AQ24" s="127">
        <v>10.2</v>
      </c>
      <c r="AR24" s="127">
        <v>14.5</v>
      </c>
      <c r="AS24" s="127">
        <v>14.5</v>
      </c>
      <c r="AT24" s="127">
        <v>11</v>
      </c>
      <c r="AU24" s="127">
        <v>14.2</v>
      </c>
      <c r="AV24" s="127">
        <v>17.7</v>
      </c>
      <c r="AW24" s="127">
        <v>21.6</v>
      </c>
      <c r="AX24" s="127">
        <v>21.7</v>
      </c>
      <c r="AY24" s="127">
        <v>21.2</v>
      </c>
      <c r="AZ24" s="127">
        <v>49.6</v>
      </c>
      <c r="BA24" s="192">
        <f t="shared" si="27"/>
        <v>286</v>
      </c>
      <c r="BB24" s="192">
        <f t="shared" si="13"/>
        <v>52.8</v>
      </c>
      <c r="BC24" s="192">
        <f t="shared" si="14"/>
        <v>64.4</v>
      </c>
      <c r="BD24" s="192">
        <f t="shared" si="15"/>
        <v>78.5</v>
      </c>
      <c r="BE24" s="192">
        <f t="shared" si="16"/>
        <v>90.3</v>
      </c>
      <c r="BF24" s="127">
        <v>14.4</v>
      </c>
      <c r="BG24" s="318">
        <v>15.6</v>
      </c>
      <c r="BH24" s="127">
        <v>22.8</v>
      </c>
      <c r="BI24" s="318">
        <v>14.6</v>
      </c>
      <c r="BJ24" s="318">
        <v>21.1</v>
      </c>
      <c r="BK24" s="318">
        <v>28.7</v>
      </c>
      <c r="BL24" s="318">
        <v>18.6</v>
      </c>
      <c r="BM24" s="318">
        <v>29.7</v>
      </c>
      <c r="BN24" s="318">
        <v>30.2</v>
      </c>
      <c r="BO24" s="318">
        <v>36.9</v>
      </c>
      <c r="BP24" s="318">
        <v>24.9</v>
      </c>
      <c r="BQ24" s="127">
        <v>28.5</v>
      </c>
      <c r="BR24" s="192">
        <f t="shared" si="30"/>
        <v>297.5</v>
      </c>
      <c r="BS24" s="192">
        <f t="shared" si="31"/>
        <v>111.6</v>
      </c>
      <c r="BT24" s="192">
        <f t="shared" si="32"/>
        <v>67.4</v>
      </c>
      <c r="BU24" s="192">
        <f t="shared" si="33"/>
        <v>51.1</v>
      </c>
      <c r="BV24" s="192">
        <f t="shared" si="34"/>
        <v>67.4</v>
      </c>
      <c r="BW24" s="127">
        <v>39.7</v>
      </c>
      <c r="BX24" s="127">
        <v>39.1</v>
      </c>
      <c r="BY24" s="127">
        <v>32.8</v>
      </c>
      <c r="BZ24" s="127">
        <v>20.6</v>
      </c>
      <c r="CA24" s="127">
        <v>23.8</v>
      </c>
      <c r="CB24" s="127">
        <v>23</v>
      </c>
      <c r="CC24" s="127">
        <v>16.4</v>
      </c>
      <c r="CD24" s="127">
        <v>17.6</v>
      </c>
      <c r="CE24" s="127">
        <v>17.1</v>
      </c>
      <c r="CF24" s="127">
        <v>23.3</v>
      </c>
      <c r="CG24" s="127">
        <v>24.5</v>
      </c>
      <c r="CH24" s="127">
        <v>19.6</v>
      </c>
      <c r="CI24" s="192">
        <v>342.9</v>
      </c>
      <c r="CJ24" s="343">
        <f t="shared" si="35"/>
        <v>65.5</v>
      </c>
      <c r="CK24" s="343">
        <f t="shared" si="36"/>
        <v>64.5</v>
      </c>
      <c r="CL24" s="343">
        <f t="shared" si="37"/>
        <v>86</v>
      </c>
      <c r="CM24" s="343">
        <f t="shared" si="38"/>
        <v>126.8</v>
      </c>
      <c r="CN24" s="328">
        <v>21.7</v>
      </c>
      <c r="CO24" s="328">
        <v>24.7</v>
      </c>
      <c r="CP24" s="328">
        <v>19.1</v>
      </c>
      <c r="CQ24" s="328">
        <v>18.2</v>
      </c>
      <c r="CR24" s="332">
        <v>20.8</v>
      </c>
      <c r="CS24" s="332">
        <v>25.5</v>
      </c>
      <c r="CT24" s="328">
        <v>27.9</v>
      </c>
      <c r="CU24" s="328">
        <v>22.2</v>
      </c>
      <c r="CV24" s="328">
        <v>35.9</v>
      </c>
      <c r="CW24" s="328">
        <v>40.6</v>
      </c>
      <c r="CX24" s="328">
        <v>41.6</v>
      </c>
      <c r="CY24" s="328">
        <v>44.6</v>
      </c>
      <c r="CZ24" s="192">
        <f t="shared" si="18"/>
        <v>865.3</v>
      </c>
      <c r="DA24" s="343">
        <f t="shared" si="2"/>
        <v>242.9</v>
      </c>
      <c r="DB24" s="343">
        <f t="shared" si="3"/>
        <v>215.5</v>
      </c>
      <c r="DC24" s="343">
        <f t="shared" si="4"/>
        <v>188.7</v>
      </c>
      <c r="DD24" s="343">
        <f t="shared" si="5"/>
        <v>218.2</v>
      </c>
      <c r="DE24" s="328">
        <v>39.3</v>
      </c>
      <c r="DF24" s="332">
        <v>65.9</v>
      </c>
      <c r="DG24" s="328">
        <v>137.7</v>
      </c>
      <c r="DH24" s="328">
        <v>123.1</v>
      </c>
      <c r="DI24" s="332">
        <v>30.1</v>
      </c>
      <c r="DJ24" s="332">
        <v>62.3</v>
      </c>
      <c r="DK24" s="328">
        <v>73.1</v>
      </c>
      <c r="DL24" s="328">
        <v>64.5</v>
      </c>
      <c r="DM24" s="328">
        <v>51.1</v>
      </c>
      <c r="DN24" s="328">
        <v>44.3</v>
      </c>
      <c r="DO24" s="328">
        <v>93.5</v>
      </c>
      <c r="DP24" s="328">
        <v>80.4</v>
      </c>
      <c r="DQ24" s="344">
        <v>979.7</v>
      </c>
      <c r="DR24" s="332">
        <f t="shared" si="19"/>
        <v>194.7</v>
      </c>
      <c r="DS24" s="332">
        <f t="shared" si="20"/>
        <v>119.2</v>
      </c>
      <c r="DT24" s="332">
        <f t="shared" si="21"/>
        <v>117</v>
      </c>
      <c r="DU24" s="332">
        <f t="shared" si="22"/>
        <v>536.8</v>
      </c>
      <c r="DV24" s="359">
        <v>68.5</v>
      </c>
      <c r="DW24" s="332">
        <v>50.6</v>
      </c>
      <c r="DX24" s="332">
        <v>75.6</v>
      </c>
      <c r="DY24" s="343">
        <v>49.1</v>
      </c>
      <c r="DZ24" s="343">
        <v>36.6</v>
      </c>
      <c r="EA24" s="343">
        <v>33.5</v>
      </c>
      <c r="EB24" s="343">
        <v>31.4</v>
      </c>
      <c r="EC24" s="343">
        <v>46.6</v>
      </c>
      <c r="ED24" s="343">
        <v>39</v>
      </c>
      <c r="EE24" s="343">
        <v>78.8</v>
      </c>
      <c r="EF24" s="343">
        <v>218.9</v>
      </c>
      <c r="EG24" s="343">
        <v>239.1</v>
      </c>
      <c r="EH24" s="343">
        <v>135</v>
      </c>
      <c r="EI24" s="343">
        <v>130.9</v>
      </c>
      <c r="EJ24" s="368">
        <v>76.2</v>
      </c>
      <c r="EK24" s="343">
        <v>48.8</v>
      </c>
      <c r="EL24" s="343">
        <v>30.6</v>
      </c>
    </row>
    <row r="25" spans="1:142" ht="12.75">
      <c r="A25" s="275" t="s">
        <v>117</v>
      </c>
      <c r="B25" s="294">
        <f t="shared" si="39"/>
        <v>17304.7</v>
      </c>
      <c r="C25" s="134">
        <f t="shared" si="28"/>
        <v>2894.1</v>
      </c>
      <c r="D25" s="134">
        <f t="shared" si="23"/>
        <v>4494.9</v>
      </c>
      <c r="E25" s="134">
        <f t="shared" si="24"/>
        <v>5789.8</v>
      </c>
      <c r="F25" s="134">
        <f t="shared" si="25"/>
        <v>4125.9</v>
      </c>
      <c r="G25" s="127">
        <v>651.5</v>
      </c>
      <c r="H25" s="127">
        <v>818.6</v>
      </c>
      <c r="I25" s="127">
        <v>1424</v>
      </c>
      <c r="J25" s="134">
        <v>1275.1</v>
      </c>
      <c r="K25" s="134">
        <v>1490.9</v>
      </c>
      <c r="L25" s="134">
        <v>1728.9</v>
      </c>
      <c r="M25" s="134">
        <v>1883.6</v>
      </c>
      <c r="N25" s="134">
        <v>1924.3</v>
      </c>
      <c r="O25" s="127">
        <v>1981.9</v>
      </c>
      <c r="P25" s="134">
        <v>1671.3</v>
      </c>
      <c r="Q25" s="132">
        <v>1288</v>
      </c>
      <c r="R25" s="134">
        <v>1166.6</v>
      </c>
      <c r="S25" s="181">
        <v>16324</v>
      </c>
      <c r="T25" s="134">
        <f t="shared" si="6"/>
        <v>3130.2</v>
      </c>
      <c r="U25" s="134">
        <f t="shared" si="7"/>
        <v>4652.4</v>
      </c>
      <c r="V25" s="134">
        <f t="shared" si="8"/>
        <v>4814.4</v>
      </c>
      <c r="W25" s="134">
        <f t="shared" si="9"/>
        <v>3727</v>
      </c>
      <c r="X25" s="127">
        <v>917.9</v>
      </c>
      <c r="Y25" s="127">
        <v>953.6</v>
      </c>
      <c r="Z25" s="127">
        <v>1258.7</v>
      </c>
      <c r="AA25" s="134">
        <v>1565.3</v>
      </c>
      <c r="AB25" s="134">
        <v>1560.2</v>
      </c>
      <c r="AC25" s="134">
        <v>1526.9</v>
      </c>
      <c r="AD25" s="134">
        <v>1509.2</v>
      </c>
      <c r="AE25" s="134">
        <v>1683.4</v>
      </c>
      <c r="AF25" s="127">
        <v>1621.8</v>
      </c>
      <c r="AG25" s="134">
        <v>1546.8</v>
      </c>
      <c r="AH25" s="132">
        <v>1256.9</v>
      </c>
      <c r="AI25" s="127">
        <v>923.3</v>
      </c>
      <c r="AJ25" s="134">
        <f t="shared" si="10"/>
        <v>13774.7</v>
      </c>
      <c r="AK25" s="134">
        <f t="shared" si="11"/>
        <v>2060.8</v>
      </c>
      <c r="AL25" s="134">
        <f t="shared" si="12"/>
        <v>3794.7</v>
      </c>
      <c r="AM25" s="134">
        <f t="shared" si="26"/>
        <v>4334.5</v>
      </c>
      <c r="AN25" s="134">
        <f t="shared" si="1"/>
        <v>3584.7</v>
      </c>
      <c r="AO25" s="127">
        <v>553.9</v>
      </c>
      <c r="AP25" s="127">
        <v>492.6</v>
      </c>
      <c r="AQ25" s="127">
        <v>1014.3</v>
      </c>
      <c r="AR25" s="127">
        <v>1278.8</v>
      </c>
      <c r="AS25" s="127">
        <v>1148.5</v>
      </c>
      <c r="AT25" s="127">
        <v>1367.4</v>
      </c>
      <c r="AU25" s="127">
        <v>1368.3</v>
      </c>
      <c r="AV25" s="127">
        <v>1511.8</v>
      </c>
      <c r="AW25" s="127">
        <v>1454.4</v>
      </c>
      <c r="AX25" s="127">
        <v>1277.9</v>
      </c>
      <c r="AY25" s="127">
        <v>1079.2</v>
      </c>
      <c r="AZ25" s="127">
        <v>1227.6</v>
      </c>
      <c r="BA25" s="192">
        <f t="shared" si="27"/>
        <v>17307.5</v>
      </c>
      <c r="BB25" s="192">
        <f t="shared" si="13"/>
        <v>2065.5</v>
      </c>
      <c r="BC25" s="192">
        <f t="shared" si="14"/>
        <v>4672.3</v>
      </c>
      <c r="BD25" s="192">
        <f t="shared" si="15"/>
        <v>6015</v>
      </c>
      <c r="BE25" s="192">
        <f t="shared" si="16"/>
        <v>4554.7</v>
      </c>
      <c r="BF25" s="127">
        <v>491.2</v>
      </c>
      <c r="BG25" s="318">
        <v>583</v>
      </c>
      <c r="BH25" s="127">
        <v>991.3</v>
      </c>
      <c r="BI25" s="318">
        <v>1268.4</v>
      </c>
      <c r="BJ25" s="318">
        <v>1607.6</v>
      </c>
      <c r="BK25" s="318">
        <v>1796.3</v>
      </c>
      <c r="BL25" s="318">
        <v>2223</v>
      </c>
      <c r="BM25" s="318">
        <v>1905.8</v>
      </c>
      <c r="BN25" s="318">
        <v>1886.2</v>
      </c>
      <c r="BO25" s="318">
        <v>1864.3</v>
      </c>
      <c r="BP25" s="318">
        <v>1570.4</v>
      </c>
      <c r="BQ25" s="127">
        <v>1120</v>
      </c>
      <c r="BR25" s="192">
        <f t="shared" si="30"/>
        <v>19644.8</v>
      </c>
      <c r="BS25" s="192">
        <f t="shared" si="31"/>
        <v>2896.5</v>
      </c>
      <c r="BT25" s="192">
        <f t="shared" si="32"/>
        <v>5532.7</v>
      </c>
      <c r="BU25" s="192">
        <f t="shared" si="33"/>
        <v>6526.4</v>
      </c>
      <c r="BV25" s="192">
        <f t="shared" si="34"/>
        <v>4689.2</v>
      </c>
      <c r="BW25" s="127">
        <v>730.3</v>
      </c>
      <c r="BX25" s="127">
        <v>820.6</v>
      </c>
      <c r="BY25" s="127">
        <v>1345.6</v>
      </c>
      <c r="BZ25" s="127">
        <v>1554.2</v>
      </c>
      <c r="CA25" s="127">
        <v>2081.8</v>
      </c>
      <c r="CB25" s="127">
        <v>1896.7</v>
      </c>
      <c r="CC25" s="127">
        <v>2220.1</v>
      </c>
      <c r="CD25" s="127">
        <v>2193.6</v>
      </c>
      <c r="CE25" s="127">
        <v>2112.7</v>
      </c>
      <c r="CF25" s="127">
        <v>1989.9</v>
      </c>
      <c r="CG25" s="127">
        <v>1391.9</v>
      </c>
      <c r="CH25" s="127">
        <v>1307.4</v>
      </c>
      <c r="CI25" s="192">
        <v>19994.6</v>
      </c>
      <c r="CJ25" s="343">
        <f t="shared" si="35"/>
        <v>3158.4</v>
      </c>
      <c r="CK25" s="343">
        <f t="shared" si="36"/>
        <v>5837.3</v>
      </c>
      <c r="CL25" s="343">
        <f t="shared" si="37"/>
        <v>6565.2</v>
      </c>
      <c r="CM25" s="343">
        <f t="shared" si="38"/>
        <v>4433.8</v>
      </c>
      <c r="CN25" s="328">
        <v>786.1</v>
      </c>
      <c r="CO25" s="328">
        <v>841.9</v>
      </c>
      <c r="CP25" s="328">
        <v>1530.4</v>
      </c>
      <c r="CQ25" s="328">
        <v>1830.6</v>
      </c>
      <c r="CR25" s="332">
        <v>2023.3</v>
      </c>
      <c r="CS25" s="332">
        <v>1983.4</v>
      </c>
      <c r="CT25" s="328">
        <v>2177.7</v>
      </c>
      <c r="CU25" s="328">
        <v>2219</v>
      </c>
      <c r="CV25" s="328">
        <v>2168.5</v>
      </c>
      <c r="CW25" s="328">
        <v>1723.8</v>
      </c>
      <c r="CX25" s="328">
        <v>1488.1</v>
      </c>
      <c r="CY25" s="328">
        <v>1221.9</v>
      </c>
      <c r="CZ25" s="192">
        <f t="shared" si="18"/>
        <v>18163.9</v>
      </c>
      <c r="DA25" s="343">
        <f t="shared" si="2"/>
        <v>2704.3</v>
      </c>
      <c r="DB25" s="343">
        <f t="shared" si="3"/>
        <v>4224.6</v>
      </c>
      <c r="DC25" s="343">
        <f t="shared" si="4"/>
        <v>6211.8</v>
      </c>
      <c r="DD25" s="343">
        <f t="shared" si="5"/>
        <v>5023.2</v>
      </c>
      <c r="DE25" s="328">
        <v>699.9</v>
      </c>
      <c r="DF25" s="332">
        <v>814.5</v>
      </c>
      <c r="DG25" s="328">
        <v>1189.9</v>
      </c>
      <c r="DH25" s="328">
        <v>731</v>
      </c>
      <c r="DI25" s="332">
        <v>1489.9</v>
      </c>
      <c r="DJ25" s="332">
        <v>2003.7</v>
      </c>
      <c r="DK25" s="328">
        <v>1976.3</v>
      </c>
      <c r="DL25" s="328">
        <v>2051.5</v>
      </c>
      <c r="DM25" s="328">
        <v>2184</v>
      </c>
      <c r="DN25" s="328">
        <v>2077.1</v>
      </c>
      <c r="DO25" s="328">
        <v>1560.3</v>
      </c>
      <c r="DP25" s="328">
        <v>1385.8</v>
      </c>
      <c r="DQ25" s="344">
        <v>28702.9</v>
      </c>
      <c r="DR25" s="332">
        <f t="shared" si="19"/>
        <v>4324.7</v>
      </c>
      <c r="DS25" s="332">
        <f t="shared" si="20"/>
        <v>7890.8</v>
      </c>
      <c r="DT25" s="332">
        <f t="shared" si="21"/>
        <v>9072.1</v>
      </c>
      <c r="DU25" s="332">
        <f t="shared" si="22"/>
        <v>7239.6</v>
      </c>
      <c r="DV25" s="359">
        <v>1189.3</v>
      </c>
      <c r="DW25" s="332">
        <v>1210.2</v>
      </c>
      <c r="DX25" s="332">
        <v>1925.2</v>
      </c>
      <c r="DY25" s="350">
        <v>2381.5</v>
      </c>
      <c r="DZ25" s="343">
        <v>2663.7</v>
      </c>
      <c r="EA25" s="350">
        <v>2845.6</v>
      </c>
      <c r="EB25" s="343">
        <v>2921.4</v>
      </c>
      <c r="EC25" s="343">
        <v>3022.4</v>
      </c>
      <c r="ED25" s="343">
        <v>3128.3</v>
      </c>
      <c r="EE25" s="343">
        <v>2833.4</v>
      </c>
      <c r="EF25" s="343">
        <v>2253.8</v>
      </c>
      <c r="EG25" s="343">
        <v>2152.4</v>
      </c>
      <c r="EH25" s="343">
        <v>1872.4</v>
      </c>
      <c r="EI25" s="343">
        <v>1769</v>
      </c>
      <c r="EJ25" s="368">
        <v>1953.5</v>
      </c>
      <c r="EK25" s="343">
        <v>2676.4</v>
      </c>
      <c r="EL25" s="343">
        <v>3074.3</v>
      </c>
    </row>
    <row r="26" spans="1:142" ht="12.75">
      <c r="A26" s="275" t="s">
        <v>118</v>
      </c>
      <c r="B26" s="294">
        <f t="shared" si="39"/>
        <v>80938.3</v>
      </c>
      <c r="C26" s="134">
        <f t="shared" si="28"/>
        <v>14110.9</v>
      </c>
      <c r="D26" s="134">
        <f t="shared" si="23"/>
        <v>12397.2</v>
      </c>
      <c r="E26" s="134">
        <f t="shared" si="24"/>
        <v>13601.7</v>
      </c>
      <c r="F26" s="134">
        <f t="shared" si="25"/>
        <v>40828.5</v>
      </c>
      <c r="G26" s="130">
        <v>4335.3</v>
      </c>
      <c r="H26" s="130">
        <v>5980.1</v>
      </c>
      <c r="I26" s="130">
        <v>3795.5</v>
      </c>
      <c r="J26" s="134">
        <v>3936.5</v>
      </c>
      <c r="K26" s="134">
        <v>3680.3</v>
      </c>
      <c r="L26" s="134">
        <v>4780.4</v>
      </c>
      <c r="M26" s="134">
        <v>3482.1</v>
      </c>
      <c r="N26" s="134">
        <v>3564.8</v>
      </c>
      <c r="O26" s="130">
        <v>6554.8</v>
      </c>
      <c r="P26" s="134">
        <v>10725.4</v>
      </c>
      <c r="Q26" s="130">
        <v>14167.5</v>
      </c>
      <c r="R26" s="134">
        <v>15935.6</v>
      </c>
      <c r="S26" s="181">
        <v>82212.5</v>
      </c>
      <c r="T26" s="134">
        <f t="shared" si="6"/>
        <v>26643.2</v>
      </c>
      <c r="U26" s="134">
        <f t="shared" si="7"/>
        <v>18094.2</v>
      </c>
      <c r="V26" s="134">
        <f t="shared" si="8"/>
        <v>15025.7</v>
      </c>
      <c r="W26" s="134">
        <f t="shared" si="9"/>
        <v>22449.4</v>
      </c>
      <c r="X26" s="130">
        <v>9848.7</v>
      </c>
      <c r="Y26" s="130">
        <v>8584.6</v>
      </c>
      <c r="Z26" s="130">
        <v>8209.9</v>
      </c>
      <c r="AA26" s="134">
        <v>6037.6</v>
      </c>
      <c r="AB26" s="134">
        <v>6332</v>
      </c>
      <c r="AC26" s="134">
        <v>5724.6</v>
      </c>
      <c r="AD26" s="134">
        <v>5561.7</v>
      </c>
      <c r="AE26" s="134">
        <v>5357.5</v>
      </c>
      <c r="AF26" s="130">
        <v>4106.5</v>
      </c>
      <c r="AG26" s="134">
        <v>6569.5</v>
      </c>
      <c r="AH26" s="130">
        <v>8536</v>
      </c>
      <c r="AI26" s="127">
        <v>7343.9</v>
      </c>
      <c r="AJ26" s="134">
        <f t="shared" si="10"/>
        <v>102939</v>
      </c>
      <c r="AK26" s="134">
        <f t="shared" si="11"/>
        <v>15511.1</v>
      </c>
      <c r="AL26" s="134">
        <f t="shared" si="12"/>
        <v>17745.9</v>
      </c>
      <c r="AM26" s="134">
        <f t="shared" si="26"/>
        <v>31880</v>
      </c>
      <c r="AN26" s="134">
        <f t="shared" si="1"/>
        <v>37802</v>
      </c>
      <c r="AO26" s="127">
        <v>4405.5</v>
      </c>
      <c r="AP26" s="127">
        <v>6489.1</v>
      </c>
      <c r="AQ26" s="127">
        <v>4616.5</v>
      </c>
      <c r="AR26" s="127">
        <v>4613.1</v>
      </c>
      <c r="AS26" s="127">
        <v>6174.2</v>
      </c>
      <c r="AT26" s="127">
        <v>6958.6</v>
      </c>
      <c r="AU26" s="127">
        <v>8278.5</v>
      </c>
      <c r="AV26" s="127">
        <v>10741.6</v>
      </c>
      <c r="AW26" s="127">
        <v>12859.9</v>
      </c>
      <c r="AX26" s="127">
        <v>10435.5</v>
      </c>
      <c r="AY26" s="127">
        <v>12454.1</v>
      </c>
      <c r="AZ26" s="127">
        <v>14912.4</v>
      </c>
      <c r="BA26" s="192">
        <f t="shared" si="27"/>
        <v>105725.2</v>
      </c>
      <c r="BB26" s="192">
        <f t="shared" si="13"/>
        <v>22712.2</v>
      </c>
      <c r="BC26" s="192">
        <f t="shared" si="14"/>
        <v>24562.6</v>
      </c>
      <c r="BD26" s="192">
        <f t="shared" si="15"/>
        <v>25066.7</v>
      </c>
      <c r="BE26" s="192">
        <f t="shared" si="16"/>
        <v>33383.7</v>
      </c>
      <c r="BF26" s="127">
        <v>4982.8</v>
      </c>
      <c r="BG26" s="318">
        <v>5202.8</v>
      </c>
      <c r="BH26" s="127">
        <v>12526.6</v>
      </c>
      <c r="BI26" s="318">
        <v>7341.5</v>
      </c>
      <c r="BJ26" s="318">
        <v>8480.5</v>
      </c>
      <c r="BK26" s="318">
        <v>8740.6</v>
      </c>
      <c r="BL26" s="318">
        <v>9803.8</v>
      </c>
      <c r="BM26" s="318">
        <v>9251.3</v>
      </c>
      <c r="BN26" s="318">
        <v>6011.6</v>
      </c>
      <c r="BO26" s="318">
        <v>7511.6</v>
      </c>
      <c r="BP26" s="318">
        <v>12557.9</v>
      </c>
      <c r="BQ26" s="127">
        <v>13314.2</v>
      </c>
      <c r="BR26" s="192">
        <f t="shared" si="30"/>
        <v>111284.7</v>
      </c>
      <c r="BS26" s="192">
        <f t="shared" si="31"/>
        <v>23149.6</v>
      </c>
      <c r="BT26" s="192">
        <f t="shared" si="32"/>
        <v>21288.8</v>
      </c>
      <c r="BU26" s="192">
        <f t="shared" si="33"/>
        <v>22834.5</v>
      </c>
      <c r="BV26" s="192">
        <f t="shared" si="34"/>
        <v>44011.8</v>
      </c>
      <c r="BW26" s="127">
        <v>6430</v>
      </c>
      <c r="BX26" s="127">
        <v>6199.6</v>
      </c>
      <c r="BY26" s="127">
        <v>10520</v>
      </c>
      <c r="BZ26" s="127">
        <v>7907.9</v>
      </c>
      <c r="CA26" s="127">
        <v>6104.4</v>
      </c>
      <c r="CB26" s="127">
        <v>7276.5</v>
      </c>
      <c r="CC26" s="127">
        <v>6434.8</v>
      </c>
      <c r="CD26" s="127">
        <v>6389.5</v>
      </c>
      <c r="CE26" s="127">
        <v>10010.2</v>
      </c>
      <c r="CF26" s="127">
        <v>10539.1</v>
      </c>
      <c r="CG26" s="127">
        <v>18431.4</v>
      </c>
      <c r="CH26" s="127">
        <v>15041.3</v>
      </c>
      <c r="CI26" s="192">
        <v>145078.4</v>
      </c>
      <c r="CJ26" s="343">
        <f t="shared" si="35"/>
        <v>33334.2</v>
      </c>
      <c r="CK26" s="343">
        <f t="shared" si="36"/>
        <v>34416</v>
      </c>
      <c r="CL26" s="343">
        <f t="shared" si="37"/>
        <v>35344.1</v>
      </c>
      <c r="CM26" s="343">
        <f t="shared" si="38"/>
        <v>41984.2</v>
      </c>
      <c r="CN26" s="328">
        <v>8618.4</v>
      </c>
      <c r="CO26" s="328">
        <v>8942.1</v>
      </c>
      <c r="CP26" s="328">
        <v>15773.7</v>
      </c>
      <c r="CQ26" s="328">
        <v>10979.4</v>
      </c>
      <c r="CR26" s="332">
        <v>10172.6</v>
      </c>
      <c r="CS26" s="332">
        <v>13264</v>
      </c>
      <c r="CT26" s="328">
        <v>11337.9</v>
      </c>
      <c r="CU26" s="328">
        <v>8366.8</v>
      </c>
      <c r="CV26" s="328">
        <v>15639.4</v>
      </c>
      <c r="CW26" s="328">
        <v>15225.2</v>
      </c>
      <c r="CX26" s="328">
        <v>13444.2</v>
      </c>
      <c r="CY26" s="328">
        <v>13314.8</v>
      </c>
      <c r="CZ26" s="192">
        <f t="shared" si="18"/>
        <v>194114.7</v>
      </c>
      <c r="DA26" s="343">
        <f t="shared" si="2"/>
        <v>43684.7</v>
      </c>
      <c r="DB26" s="343">
        <f t="shared" si="3"/>
        <v>54281.8</v>
      </c>
      <c r="DC26" s="343">
        <f t="shared" si="4"/>
        <v>54318.7</v>
      </c>
      <c r="DD26" s="343">
        <f t="shared" si="5"/>
        <v>41829.5</v>
      </c>
      <c r="DE26" s="328">
        <v>10280.1</v>
      </c>
      <c r="DF26" s="332">
        <v>14461.6</v>
      </c>
      <c r="DG26" s="328">
        <v>18943</v>
      </c>
      <c r="DH26" s="328">
        <v>16773.2</v>
      </c>
      <c r="DI26" s="332">
        <v>16951.2</v>
      </c>
      <c r="DJ26" s="332">
        <v>20557.4</v>
      </c>
      <c r="DK26" s="328">
        <v>16840.2</v>
      </c>
      <c r="DL26" s="328">
        <v>15779.9</v>
      </c>
      <c r="DM26" s="328">
        <v>21698.6</v>
      </c>
      <c r="DN26" s="328">
        <v>14965.9</v>
      </c>
      <c r="DO26" s="328">
        <v>12311.3</v>
      </c>
      <c r="DP26" s="328">
        <v>14552.3</v>
      </c>
      <c r="DQ26" s="344">
        <v>186285.5</v>
      </c>
      <c r="DR26" s="332">
        <f t="shared" si="19"/>
        <v>36499.7</v>
      </c>
      <c r="DS26" s="332">
        <f t="shared" si="20"/>
        <v>44409.2</v>
      </c>
      <c r="DT26" s="332">
        <f t="shared" si="21"/>
        <v>37894.4</v>
      </c>
      <c r="DU26" s="332">
        <f t="shared" si="22"/>
        <v>67462.4</v>
      </c>
      <c r="DV26" s="359">
        <v>9481.4</v>
      </c>
      <c r="DW26" s="332">
        <v>11489.4</v>
      </c>
      <c r="DX26" s="332">
        <v>15528.9</v>
      </c>
      <c r="DY26" s="343">
        <v>13548.8</v>
      </c>
      <c r="DZ26" s="343">
        <v>15449.5</v>
      </c>
      <c r="EA26" s="343">
        <v>15410.9</v>
      </c>
      <c r="EB26" s="343">
        <v>8298.9</v>
      </c>
      <c r="EC26" s="343">
        <v>15680.7</v>
      </c>
      <c r="ED26" s="343">
        <v>13914.8</v>
      </c>
      <c r="EE26" s="343">
        <v>24535.4</v>
      </c>
      <c r="EF26" s="343">
        <v>19741.7</v>
      </c>
      <c r="EG26" s="343">
        <v>23185.3</v>
      </c>
      <c r="EH26" s="343">
        <v>7323.1</v>
      </c>
      <c r="EI26" s="343">
        <v>8849.2</v>
      </c>
      <c r="EJ26" s="368">
        <v>15543.3</v>
      </c>
      <c r="EK26" s="343">
        <v>19785</v>
      </c>
      <c r="EL26" s="343">
        <v>19549.4</v>
      </c>
    </row>
    <row r="27" spans="1:142" ht="12.75">
      <c r="A27" s="275" t="s">
        <v>119</v>
      </c>
      <c r="B27" s="294">
        <f t="shared" si="39"/>
        <v>72.5</v>
      </c>
      <c r="C27" s="134">
        <f t="shared" si="28"/>
        <v>19.3</v>
      </c>
      <c r="D27" s="134">
        <f t="shared" si="23"/>
        <v>16.7</v>
      </c>
      <c r="E27" s="134">
        <f t="shared" si="24"/>
        <v>19.9</v>
      </c>
      <c r="F27" s="134">
        <f t="shared" si="25"/>
        <v>16.6</v>
      </c>
      <c r="G27" s="127">
        <v>6.9</v>
      </c>
      <c r="H27" s="127">
        <v>5.5</v>
      </c>
      <c r="I27" s="127">
        <v>6.9</v>
      </c>
      <c r="J27" s="134">
        <v>5.1</v>
      </c>
      <c r="K27" s="134">
        <v>5.4</v>
      </c>
      <c r="L27" s="134">
        <v>6.2</v>
      </c>
      <c r="M27" s="134">
        <v>7</v>
      </c>
      <c r="N27" s="134">
        <v>5.8</v>
      </c>
      <c r="O27" s="127">
        <v>7.1</v>
      </c>
      <c r="P27" s="134">
        <v>7.5</v>
      </c>
      <c r="Q27" s="127">
        <v>4.5</v>
      </c>
      <c r="R27" s="134">
        <v>4.6</v>
      </c>
      <c r="S27" s="181">
        <v>67.2</v>
      </c>
      <c r="T27" s="134">
        <f t="shared" si="6"/>
        <v>9</v>
      </c>
      <c r="U27" s="134">
        <f t="shared" si="7"/>
        <v>7.2</v>
      </c>
      <c r="V27" s="134">
        <f t="shared" si="8"/>
        <v>20.6</v>
      </c>
      <c r="W27" s="134">
        <f t="shared" si="9"/>
        <v>30.4</v>
      </c>
      <c r="X27" s="127">
        <v>2.3</v>
      </c>
      <c r="Y27" s="127">
        <v>1.8</v>
      </c>
      <c r="Z27" s="127">
        <v>4.9</v>
      </c>
      <c r="AA27" s="134">
        <v>1.9</v>
      </c>
      <c r="AB27" s="134">
        <v>2.6</v>
      </c>
      <c r="AC27" s="134">
        <v>2.7</v>
      </c>
      <c r="AD27" s="134">
        <v>8.7</v>
      </c>
      <c r="AE27" s="134">
        <v>5.6</v>
      </c>
      <c r="AF27" s="127">
        <v>6.3</v>
      </c>
      <c r="AG27" s="134">
        <v>6.3</v>
      </c>
      <c r="AH27" s="127">
        <v>7</v>
      </c>
      <c r="AI27" s="127">
        <v>17.1</v>
      </c>
      <c r="AJ27" s="134">
        <f t="shared" si="10"/>
        <v>74.8</v>
      </c>
      <c r="AK27" s="134">
        <f t="shared" si="11"/>
        <v>12.7</v>
      </c>
      <c r="AL27" s="134">
        <f t="shared" si="12"/>
        <v>21.4</v>
      </c>
      <c r="AM27" s="134">
        <f t="shared" si="26"/>
        <v>10.8</v>
      </c>
      <c r="AN27" s="134">
        <f t="shared" si="1"/>
        <v>29.9</v>
      </c>
      <c r="AO27" s="127">
        <v>1.3</v>
      </c>
      <c r="AP27" s="127">
        <v>6.3</v>
      </c>
      <c r="AQ27" s="127">
        <v>5.1</v>
      </c>
      <c r="AR27" s="127">
        <v>0.8</v>
      </c>
      <c r="AS27" s="127">
        <v>5</v>
      </c>
      <c r="AT27" s="127">
        <v>15.6</v>
      </c>
      <c r="AU27" s="127">
        <v>2.6</v>
      </c>
      <c r="AV27" s="127">
        <v>2.9</v>
      </c>
      <c r="AW27" s="127">
        <v>5.3</v>
      </c>
      <c r="AX27" s="127">
        <v>7.2</v>
      </c>
      <c r="AY27" s="127">
        <v>7</v>
      </c>
      <c r="AZ27" s="127">
        <v>15.7</v>
      </c>
      <c r="BA27" s="192">
        <f t="shared" si="27"/>
        <v>56</v>
      </c>
      <c r="BB27" s="192">
        <f t="shared" si="13"/>
        <v>17.3</v>
      </c>
      <c r="BC27" s="192">
        <f t="shared" si="14"/>
        <v>13.4</v>
      </c>
      <c r="BD27" s="192">
        <f t="shared" si="15"/>
        <v>13.2</v>
      </c>
      <c r="BE27" s="192">
        <f t="shared" si="16"/>
        <v>12.1</v>
      </c>
      <c r="BF27" s="127">
        <v>0.9</v>
      </c>
      <c r="BG27" s="318">
        <v>4.5</v>
      </c>
      <c r="BH27" s="127">
        <v>11.9</v>
      </c>
      <c r="BI27" s="318">
        <v>4.5</v>
      </c>
      <c r="BJ27" s="318">
        <v>4.3</v>
      </c>
      <c r="BK27" s="318">
        <v>4.6</v>
      </c>
      <c r="BL27" s="318">
        <v>4.1</v>
      </c>
      <c r="BM27" s="318">
        <v>3.1</v>
      </c>
      <c r="BN27" s="318">
        <v>6</v>
      </c>
      <c r="BO27" s="318">
        <v>3.6</v>
      </c>
      <c r="BP27" s="318">
        <v>3.2</v>
      </c>
      <c r="BQ27" s="127">
        <v>5.3</v>
      </c>
      <c r="BR27" s="192">
        <f t="shared" si="30"/>
        <v>41.6</v>
      </c>
      <c r="BS27" s="192">
        <f t="shared" si="31"/>
        <v>15.1</v>
      </c>
      <c r="BT27" s="192">
        <f t="shared" si="32"/>
        <v>9.5</v>
      </c>
      <c r="BU27" s="192">
        <f t="shared" si="33"/>
        <v>4.2</v>
      </c>
      <c r="BV27" s="192">
        <f t="shared" si="34"/>
        <v>12.8</v>
      </c>
      <c r="BW27" s="127">
        <v>4.8</v>
      </c>
      <c r="BX27" s="127">
        <v>5</v>
      </c>
      <c r="BY27" s="127">
        <v>5.3</v>
      </c>
      <c r="BZ27" s="127">
        <v>5.1</v>
      </c>
      <c r="CA27" s="127">
        <v>2.3</v>
      </c>
      <c r="CB27" s="127">
        <v>2.1</v>
      </c>
      <c r="CC27" s="127">
        <v>1.7</v>
      </c>
      <c r="CD27" s="127">
        <v>0.9</v>
      </c>
      <c r="CE27" s="127">
        <v>1.6</v>
      </c>
      <c r="CF27" s="127">
        <v>1.6</v>
      </c>
      <c r="CG27" s="127">
        <v>1.8</v>
      </c>
      <c r="CH27" s="127">
        <v>9.4</v>
      </c>
      <c r="CI27" s="192">
        <v>63.6</v>
      </c>
      <c r="CJ27" s="343">
        <f t="shared" si="35"/>
        <v>15.5</v>
      </c>
      <c r="CK27" s="343">
        <f t="shared" si="36"/>
        <v>13.5</v>
      </c>
      <c r="CL27" s="343">
        <f t="shared" si="37"/>
        <v>17.7</v>
      </c>
      <c r="CM27" s="343">
        <f t="shared" si="38"/>
        <v>16.8</v>
      </c>
      <c r="CN27" s="328">
        <v>5.1</v>
      </c>
      <c r="CO27" s="328">
        <v>5.2</v>
      </c>
      <c r="CP27" s="328">
        <v>5.2</v>
      </c>
      <c r="CQ27" s="328">
        <v>3.9</v>
      </c>
      <c r="CR27" s="332">
        <v>2.8</v>
      </c>
      <c r="CS27" s="332">
        <v>6.8</v>
      </c>
      <c r="CT27" s="328">
        <v>6.8</v>
      </c>
      <c r="CU27" s="328">
        <v>4.4</v>
      </c>
      <c r="CV27" s="328">
        <v>6.5</v>
      </c>
      <c r="CW27" s="328">
        <v>4.6</v>
      </c>
      <c r="CX27" s="328">
        <v>5.6</v>
      </c>
      <c r="CY27" s="328">
        <v>6.6</v>
      </c>
      <c r="CZ27" s="192">
        <f t="shared" si="18"/>
        <v>67</v>
      </c>
      <c r="DA27" s="343">
        <f t="shared" si="2"/>
        <v>15.7</v>
      </c>
      <c r="DB27" s="343">
        <f t="shared" si="3"/>
        <v>11.8</v>
      </c>
      <c r="DC27" s="343">
        <f t="shared" si="4"/>
        <v>19.2</v>
      </c>
      <c r="DD27" s="343">
        <f t="shared" si="5"/>
        <v>20.3</v>
      </c>
      <c r="DE27" s="328">
        <v>3.5</v>
      </c>
      <c r="DF27" s="332">
        <v>4.1</v>
      </c>
      <c r="DG27" s="328">
        <v>8.1</v>
      </c>
      <c r="DH27" s="328">
        <v>5.2</v>
      </c>
      <c r="DI27" s="332">
        <v>2</v>
      </c>
      <c r="DJ27" s="332">
        <v>4.6</v>
      </c>
      <c r="DK27" s="328">
        <v>5.8</v>
      </c>
      <c r="DL27" s="328">
        <v>5.6</v>
      </c>
      <c r="DM27" s="328">
        <v>7.8</v>
      </c>
      <c r="DN27" s="328">
        <v>4.6</v>
      </c>
      <c r="DO27" s="328">
        <v>6.9</v>
      </c>
      <c r="DP27" s="328">
        <v>8.8</v>
      </c>
      <c r="DQ27" s="344">
        <v>44</v>
      </c>
      <c r="DR27" s="332">
        <f t="shared" si="19"/>
        <v>4.3</v>
      </c>
      <c r="DS27" s="332">
        <f t="shared" si="20"/>
        <v>1.1</v>
      </c>
      <c r="DT27" s="332">
        <f t="shared" si="21"/>
        <v>8.7</v>
      </c>
      <c r="DU27" s="332">
        <f t="shared" si="22"/>
        <v>25.2</v>
      </c>
      <c r="DV27" s="359">
        <v>0.9</v>
      </c>
      <c r="DW27" s="332">
        <v>0.7</v>
      </c>
      <c r="DX27" s="332">
        <v>2.7</v>
      </c>
      <c r="DY27" s="350">
        <v>0.1</v>
      </c>
      <c r="DZ27" s="343">
        <v>0.5</v>
      </c>
      <c r="EA27" s="350">
        <v>0.5</v>
      </c>
      <c r="EB27" s="343">
        <v>1.9</v>
      </c>
      <c r="EC27" s="343">
        <v>1.8</v>
      </c>
      <c r="ED27" s="343">
        <v>5</v>
      </c>
      <c r="EE27" s="343">
        <v>1.7</v>
      </c>
      <c r="EF27" s="343">
        <v>1.9</v>
      </c>
      <c r="EG27" s="343">
        <v>21.6</v>
      </c>
      <c r="EH27" s="343">
        <v>2.3</v>
      </c>
      <c r="EI27" s="343">
        <v>2.3</v>
      </c>
      <c r="EJ27" s="368">
        <v>2.8</v>
      </c>
      <c r="EK27" s="343">
        <v>2.3</v>
      </c>
      <c r="EL27" s="343">
        <v>2.1</v>
      </c>
    </row>
    <row r="28" spans="1:142" ht="12.75">
      <c r="A28" s="275" t="s">
        <v>120</v>
      </c>
      <c r="B28" s="294">
        <f t="shared" si="39"/>
        <v>1867.7</v>
      </c>
      <c r="C28" s="134">
        <f t="shared" si="28"/>
        <v>473</v>
      </c>
      <c r="D28" s="134">
        <f t="shared" si="23"/>
        <v>449.1</v>
      </c>
      <c r="E28" s="134">
        <f t="shared" si="24"/>
        <v>400.6</v>
      </c>
      <c r="F28" s="134">
        <f t="shared" si="25"/>
        <v>545</v>
      </c>
      <c r="G28" s="127">
        <v>152.2</v>
      </c>
      <c r="H28" s="127">
        <v>155.7</v>
      </c>
      <c r="I28" s="127">
        <v>165.1</v>
      </c>
      <c r="J28" s="134">
        <v>176.2</v>
      </c>
      <c r="K28" s="134">
        <v>153.4</v>
      </c>
      <c r="L28" s="134">
        <v>119.5</v>
      </c>
      <c r="M28" s="134">
        <v>104.7</v>
      </c>
      <c r="N28" s="134">
        <v>124.4</v>
      </c>
      <c r="O28" s="127">
        <v>171.5</v>
      </c>
      <c r="P28" s="134">
        <v>188.6</v>
      </c>
      <c r="Q28" s="127">
        <v>161</v>
      </c>
      <c r="R28" s="134">
        <v>195.4</v>
      </c>
      <c r="S28" s="181">
        <v>1782.5</v>
      </c>
      <c r="T28" s="134">
        <f t="shared" si="6"/>
        <v>429.5</v>
      </c>
      <c r="U28" s="134">
        <f t="shared" si="7"/>
        <v>324.7</v>
      </c>
      <c r="V28" s="134">
        <f t="shared" si="8"/>
        <v>410.7</v>
      </c>
      <c r="W28" s="134">
        <f t="shared" si="9"/>
        <v>617.6</v>
      </c>
      <c r="X28" s="127">
        <v>140.1</v>
      </c>
      <c r="Y28" s="127">
        <v>127.8</v>
      </c>
      <c r="Z28" s="127">
        <v>161.6</v>
      </c>
      <c r="AA28" s="134">
        <v>124.8</v>
      </c>
      <c r="AB28" s="134">
        <v>110.2</v>
      </c>
      <c r="AC28" s="134">
        <v>89.7</v>
      </c>
      <c r="AD28" s="134">
        <v>93.8</v>
      </c>
      <c r="AE28" s="134">
        <v>144.8</v>
      </c>
      <c r="AF28" s="127">
        <v>172.1</v>
      </c>
      <c r="AG28" s="134">
        <v>202.6</v>
      </c>
      <c r="AH28" s="127">
        <v>220.6</v>
      </c>
      <c r="AI28" s="127">
        <v>194.4</v>
      </c>
      <c r="AJ28" s="134">
        <f t="shared" si="10"/>
        <v>1546.9</v>
      </c>
      <c r="AK28" s="134">
        <f t="shared" si="11"/>
        <v>419.8</v>
      </c>
      <c r="AL28" s="134">
        <f t="shared" si="12"/>
        <v>326.9</v>
      </c>
      <c r="AM28" s="134">
        <f t="shared" si="26"/>
        <v>338.6</v>
      </c>
      <c r="AN28" s="134">
        <f t="shared" si="1"/>
        <v>461.6</v>
      </c>
      <c r="AO28" s="127">
        <v>143.9</v>
      </c>
      <c r="AP28" s="127">
        <v>147.9</v>
      </c>
      <c r="AQ28" s="127">
        <v>128</v>
      </c>
      <c r="AR28" s="127">
        <v>117.5</v>
      </c>
      <c r="AS28" s="127">
        <v>112</v>
      </c>
      <c r="AT28" s="127">
        <v>97.4</v>
      </c>
      <c r="AU28" s="127">
        <v>106.4</v>
      </c>
      <c r="AV28" s="127">
        <v>120</v>
      </c>
      <c r="AW28" s="127">
        <v>112.2</v>
      </c>
      <c r="AX28" s="127">
        <v>151.7</v>
      </c>
      <c r="AY28" s="127">
        <v>154.8</v>
      </c>
      <c r="AZ28" s="127">
        <v>155.1</v>
      </c>
      <c r="BA28" s="192">
        <f t="shared" si="27"/>
        <v>1363</v>
      </c>
      <c r="BB28" s="192">
        <f t="shared" si="13"/>
        <v>327.4</v>
      </c>
      <c r="BC28" s="192">
        <f t="shared" si="14"/>
        <v>292.3</v>
      </c>
      <c r="BD28" s="192">
        <f t="shared" si="15"/>
        <v>335.5</v>
      </c>
      <c r="BE28" s="192">
        <f t="shared" si="16"/>
        <v>407.8</v>
      </c>
      <c r="BF28" s="127">
        <v>111.2</v>
      </c>
      <c r="BG28" s="318">
        <v>101.6</v>
      </c>
      <c r="BH28" s="127">
        <v>114.6</v>
      </c>
      <c r="BI28" s="318">
        <v>98.6</v>
      </c>
      <c r="BJ28" s="318">
        <v>94.3</v>
      </c>
      <c r="BK28" s="318">
        <v>99.4</v>
      </c>
      <c r="BL28" s="318">
        <v>95.9</v>
      </c>
      <c r="BM28" s="318">
        <v>116.3</v>
      </c>
      <c r="BN28" s="318">
        <v>123.3</v>
      </c>
      <c r="BO28" s="318">
        <v>127.8</v>
      </c>
      <c r="BP28" s="318">
        <v>140.2</v>
      </c>
      <c r="BQ28" s="127">
        <v>139.8</v>
      </c>
      <c r="BR28" s="192">
        <f t="shared" si="30"/>
        <v>1451.8</v>
      </c>
      <c r="BS28" s="192">
        <f t="shared" si="31"/>
        <v>359.5</v>
      </c>
      <c r="BT28" s="192">
        <f t="shared" si="32"/>
        <v>344.2</v>
      </c>
      <c r="BU28" s="192">
        <f t="shared" si="33"/>
        <v>336.6</v>
      </c>
      <c r="BV28" s="192">
        <f t="shared" si="34"/>
        <v>411.5</v>
      </c>
      <c r="BW28" s="127">
        <v>122.5</v>
      </c>
      <c r="BX28" s="127">
        <v>115.3</v>
      </c>
      <c r="BY28" s="127">
        <v>121.7</v>
      </c>
      <c r="BZ28" s="127">
        <v>113.6</v>
      </c>
      <c r="CA28" s="127">
        <v>116.8</v>
      </c>
      <c r="CB28" s="127">
        <v>113.8</v>
      </c>
      <c r="CC28" s="127">
        <v>107.4</v>
      </c>
      <c r="CD28" s="127">
        <v>117.5</v>
      </c>
      <c r="CE28" s="127">
        <v>111.7</v>
      </c>
      <c r="CF28" s="127">
        <v>141.6</v>
      </c>
      <c r="CG28" s="127">
        <v>137.3</v>
      </c>
      <c r="CH28" s="127">
        <v>132.6</v>
      </c>
      <c r="CI28" s="192">
        <v>1407.1</v>
      </c>
      <c r="CJ28" s="343">
        <f t="shared" si="35"/>
        <v>342.8</v>
      </c>
      <c r="CK28" s="343">
        <f t="shared" si="36"/>
        <v>294.1</v>
      </c>
      <c r="CL28" s="343">
        <f t="shared" si="37"/>
        <v>355.7</v>
      </c>
      <c r="CM28" s="343">
        <f t="shared" si="38"/>
        <v>414.3</v>
      </c>
      <c r="CN28" s="328">
        <v>105.8</v>
      </c>
      <c r="CO28" s="328">
        <v>118.6</v>
      </c>
      <c r="CP28" s="328">
        <v>118.4</v>
      </c>
      <c r="CQ28" s="328">
        <v>110.9</v>
      </c>
      <c r="CR28" s="332">
        <v>94</v>
      </c>
      <c r="CS28" s="332">
        <v>89.2</v>
      </c>
      <c r="CT28" s="328">
        <v>113.1</v>
      </c>
      <c r="CU28" s="328">
        <v>119</v>
      </c>
      <c r="CV28" s="328">
        <v>123.6</v>
      </c>
      <c r="CW28" s="328">
        <v>140.2</v>
      </c>
      <c r="CX28" s="328">
        <v>142.1</v>
      </c>
      <c r="CY28" s="328">
        <v>132</v>
      </c>
      <c r="CZ28" s="192">
        <f t="shared" si="18"/>
        <v>1147.1</v>
      </c>
      <c r="DA28" s="343">
        <f t="shared" si="2"/>
        <v>242.9</v>
      </c>
      <c r="DB28" s="343">
        <f t="shared" si="3"/>
        <v>207.2</v>
      </c>
      <c r="DC28" s="343">
        <f t="shared" si="4"/>
        <v>318.8</v>
      </c>
      <c r="DD28" s="343">
        <f t="shared" si="5"/>
        <v>378.2</v>
      </c>
      <c r="DE28" s="328">
        <v>92.1</v>
      </c>
      <c r="DF28" s="332">
        <v>82.1</v>
      </c>
      <c r="DG28" s="328">
        <v>68.7</v>
      </c>
      <c r="DH28" s="328">
        <v>40.2</v>
      </c>
      <c r="DI28" s="332">
        <v>67.2</v>
      </c>
      <c r="DJ28" s="332">
        <v>99.8</v>
      </c>
      <c r="DK28" s="328">
        <v>94.1</v>
      </c>
      <c r="DL28" s="328">
        <v>106</v>
      </c>
      <c r="DM28" s="328">
        <v>118.7</v>
      </c>
      <c r="DN28" s="328">
        <v>128</v>
      </c>
      <c r="DO28" s="328">
        <v>118.7</v>
      </c>
      <c r="DP28" s="328">
        <v>131.5</v>
      </c>
      <c r="DQ28" s="344">
        <v>1503</v>
      </c>
      <c r="DR28" s="332">
        <f t="shared" si="19"/>
        <v>314.4</v>
      </c>
      <c r="DS28" s="332">
        <f t="shared" si="20"/>
        <v>391.3</v>
      </c>
      <c r="DT28" s="332">
        <f t="shared" si="21"/>
        <v>380.8</v>
      </c>
      <c r="DU28" s="332">
        <f t="shared" si="22"/>
        <v>410.9</v>
      </c>
      <c r="DV28" s="359">
        <v>96.8</v>
      </c>
      <c r="DW28" s="332">
        <v>100.8</v>
      </c>
      <c r="DX28" s="332">
        <v>116.8</v>
      </c>
      <c r="DY28" s="343">
        <v>128.9</v>
      </c>
      <c r="DZ28" s="343">
        <v>115.4</v>
      </c>
      <c r="EA28" s="343">
        <v>147</v>
      </c>
      <c r="EB28" s="343">
        <v>107.3</v>
      </c>
      <c r="EC28" s="343">
        <v>153</v>
      </c>
      <c r="ED28" s="343">
        <v>120.5</v>
      </c>
      <c r="EE28" s="343">
        <v>128.8</v>
      </c>
      <c r="EF28" s="343">
        <v>144.5</v>
      </c>
      <c r="EG28" s="343">
        <v>137.6</v>
      </c>
      <c r="EH28" s="343">
        <v>116.9</v>
      </c>
      <c r="EI28" s="343">
        <v>111.5</v>
      </c>
      <c r="EJ28" s="368">
        <v>122.3</v>
      </c>
      <c r="EK28" s="343">
        <v>128.5</v>
      </c>
      <c r="EL28" s="343">
        <v>157.1</v>
      </c>
    </row>
    <row r="29" spans="1:142" ht="12.75">
      <c r="A29" s="275" t="s">
        <v>121</v>
      </c>
      <c r="B29" s="294">
        <f t="shared" si="39"/>
        <v>408</v>
      </c>
      <c r="C29" s="134">
        <f t="shared" si="28"/>
        <v>110.7</v>
      </c>
      <c r="D29" s="134">
        <f t="shared" si="23"/>
        <v>97.2</v>
      </c>
      <c r="E29" s="134">
        <f t="shared" si="24"/>
        <v>96.7</v>
      </c>
      <c r="F29" s="134">
        <f t="shared" si="25"/>
        <v>103.4</v>
      </c>
      <c r="G29" s="127">
        <v>45.3</v>
      </c>
      <c r="H29" s="127">
        <v>33</v>
      </c>
      <c r="I29" s="127">
        <v>32.4</v>
      </c>
      <c r="J29" s="134">
        <v>34.4</v>
      </c>
      <c r="K29" s="134">
        <v>30.8</v>
      </c>
      <c r="L29" s="134">
        <v>32</v>
      </c>
      <c r="M29" s="134">
        <v>28.2</v>
      </c>
      <c r="N29" s="134">
        <v>23</v>
      </c>
      <c r="O29" s="127">
        <v>45.5</v>
      </c>
      <c r="P29" s="134">
        <v>34.1</v>
      </c>
      <c r="Q29" s="127">
        <v>34.8</v>
      </c>
      <c r="R29" s="134">
        <v>34.5</v>
      </c>
      <c r="S29" s="181">
        <v>280.4</v>
      </c>
      <c r="T29" s="134">
        <f t="shared" si="6"/>
        <v>84.3</v>
      </c>
      <c r="U29" s="134">
        <f t="shared" si="7"/>
        <v>61.8</v>
      </c>
      <c r="V29" s="134">
        <f t="shared" si="8"/>
        <v>61</v>
      </c>
      <c r="W29" s="134">
        <f t="shared" si="9"/>
        <v>73.3</v>
      </c>
      <c r="X29" s="127">
        <v>30.6</v>
      </c>
      <c r="Y29" s="127">
        <v>21.8</v>
      </c>
      <c r="Z29" s="127">
        <v>31.9</v>
      </c>
      <c r="AA29" s="134">
        <v>23.4</v>
      </c>
      <c r="AB29" s="134">
        <v>21.9</v>
      </c>
      <c r="AC29" s="134">
        <v>16.5</v>
      </c>
      <c r="AD29" s="134">
        <v>12.2</v>
      </c>
      <c r="AE29" s="134">
        <v>22.5</v>
      </c>
      <c r="AF29" s="127">
        <v>26.3</v>
      </c>
      <c r="AG29" s="134">
        <v>26.3</v>
      </c>
      <c r="AH29" s="127">
        <v>27.1</v>
      </c>
      <c r="AI29" s="127">
        <v>19.9</v>
      </c>
      <c r="AJ29" s="134">
        <f t="shared" si="10"/>
        <v>161.5</v>
      </c>
      <c r="AK29" s="134">
        <f t="shared" si="11"/>
        <v>43.2</v>
      </c>
      <c r="AL29" s="134">
        <f t="shared" si="12"/>
        <v>36.6</v>
      </c>
      <c r="AM29" s="134">
        <f t="shared" si="26"/>
        <v>33.1</v>
      </c>
      <c r="AN29" s="134">
        <f t="shared" si="1"/>
        <v>48.6</v>
      </c>
      <c r="AO29" s="127">
        <v>15.1</v>
      </c>
      <c r="AP29" s="127">
        <v>13.7</v>
      </c>
      <c r="AQ29" s="127">
        <v>14.4</v>
      </c>
      <c r="AR29" s="127">
        <v>15.5</v>
      </c>
      <c r="AS29" s="127">
        <v>7.9</v>
      </c>
      <c r="AT29" s="127">
        <v>13.2</v>
      </c>
      <c r="AU29" s="127">
        <v>7.8</v>
      </c>
      <c r="AV29" s="127">
        <v>9.7</v>
      </c>
      <c r="AW29" s="127">
        <v>15.6</v>
      </c>
      <c r="AX29" s="127">
        <v>12.4</v>
      </c>
      <c r="AY29" s="127">
        <v>14.1</v>
      </c>
      <c r="AZ29" s="127">
        <v>22.1</v>
      </c>
      <c r="BA29" s="192">
        <f t="shared" si="27"/>
        <v>265</v>
      </c>
      <c r="BB29" s="192">
        <f t="shared" si="13"/>
        <v>49.6</v>
      </c>
      <c r="BC29" s="192">
        <f t="shared" si="14"/>
        <v>56.8</v>
      </c>
      <c r="BD29" s="192">
        <f t="shared" si="15"/>
        <v>75.6</v>
      </c>
      <c r="BE29" s="192">
        <f t="shared" si="16"/>
        <v>83</v>
      </c>
      <c r="BF29" s="127">
        <v>14.1</v>
      </c>
      <c r="BG29" s="318">
        <v>27.8</v>
      </c>
      <c r="BH29" s="127">
        <v>7.7</v>
      </c>
      <c r="BI29" s="318">
        <v>14</v>
      </c>
      <c r="BJ29" s="318">
        <v>18.6</v>
      </c>
      <c r="BK29" s="318">
        <v>24.2</v>
      </c>
      <c r="BL29" s="318">
        <v>19.1</v>
      </c>
      <c r="BM29" s="318">
        <v>28</v>
      </c>
      <c r="BN29" s="318">
        <v>28.5</v>
      </c>
      <c r="BO29" s="318">
        <v>12.5</v>
      </c>
      <c r="BP29" s="318">
        <v>45.6</v>
      </c>
      <c r="BQ29" s="127">
        <v>24.9</v>
      </c>
      <c r="BR29" s="192">
        <f t="shared" si="30"/>
        <v>217.9</v>
      </c>
      <c r="BS29" s="192">
        <f t="shared" si="31"/>
        <v>44</v>
      </c>
      <c r="BT29" s="192">
        <f t="shared" si="32"/>
        <v>55.3</v>
      </c>
      <c r="BU29" s="192">
        <f t="shared" si="33"/>
        <v>48.1</v>
      </c>
      <c r="BV29" s="192">
        <f t="shared" si="34"/>
        <v>70.5</v>
      </c>
      <c r="BW29" s="127">
        <v>17.2</v>
      </c>
      <c r="BX29" s="127">
        <v>12.9</v>
      </c>
      <c r="BY29" s="127">
        <v>13.9</v>
      </c>
      <c r="BZ29" s="127">
        <v>21.4</v>
      </c>
      <c r="CA29" s="127">
        <v>19.5</v>
      </c>
      <c r="CB29" s="127">
        <v>14.4</v>
      </c>
      <c r="CC29" s="127">
        <v>12.1</v>
      </c>
      <c r="CD29" s="127">
        <v>9.2</v>
      </c>
      <c r="CE29" s="127">
        <v>26.8</v>
      </c>
      <c r="CF29" s="127">
        <v>16.5</v>
      </c>
      <c r="CG29" s="127">
        <v>18.1</v>
      </c>
      <c r="CH29" s="127">
        <v>35.9</v>
      </c>
      <c r="CI29" s="192">
        <v>220.9</v>
      </c>
      <c r="CJ29" s="343">
        <f t="shared" si="35"/>
        <v>42</v>
      </c>
      <c r="CK29" s="343">
        <f t="shared" si="36"/>
        <v>52.4</v>
      </c>
      <c r="CL29" s="343">
        <f t="shared" si="37"/>
        <v>46.2</v>
      </c>
      <c r="CM29" s="343">
        <f t="shared" si="38"/>
        <v>80.5</v>
      </c>
      <c r="CN29" s="328">
        <v>13.7</v>
      </c>
      <c r="CO29" s="328">
        <v>16.4</v>
      </c>
      <c r="CP29" s="328">
        <v>11.9</v>
      </c>
      <c r="CQ29" s="328">
        <v>17.9</v>
      </c>
      <c r="CR29" s="332">
        <v>19.2</v>
      </c>
      <c r="CS29" s="332">
        <v>15.3</v>
      </c>
      <c r="CT29" s="328">
        <v>16.2</v>
      </c>
      <c r="CU29" s="328">
        <v>14.4</v>
      </c>
      <c r="CV29" s="328">
        <v>15.6</v>
      </c>
      <c r="CW29" s="328">
        <v>31.4</v>
      </c>
      <c r="CX29" s="328">
        <v>23</v>
      </c>
      <c r="CY29" s="328">
        <v>26.1</v>
      </c>
      <c r="CZ29" s="192">
        <f t="shared" si="18"/>
        <v>161.5</v>
      </c>
      <c r="DA29" s="343">
        <f t="shared" si="2"/>
        <v>31</v>
      </c>
      <c r="DB29" s="343">
        <f t="shared" si="3"/>
        <v>29.6</v>
      </c>
      <c r="DC29" s="343">
        <f t="shared" si="4"/>
        <v>33.6</v>
      </c>
      <c r="DD29" s="343">
        <f t="shared" si="5"/>
        <v>67.3</v>
      </c>
      <c r="DE29" s="328">
        <v>13.3</v>
      </c>
      <c r="DF29" s="332">
        <v>10</v>
      </c>
      <c r="DG29" s="328">
        <v>7.7</v>
      </c>
      <c r="DH29" s="328">
        <v>7</v>
      </c>
      <c r="DI29" s="332">
        <v>12.4</v>
      </c>
      <c r="DJ29" s="332">
        <v>10.2</v>
      </c>
      <c r="DK29" s="328">
        <v>8</v>
      </c>
      <c r="DL29" s="328">
        <v>11.5</v>
      </c>
      <c r="DM29" s="328">
        <v>14.1</v>
      </c>
      <c r="DN29" s="328">
        <v>15.6</v>
      </c>
      <c r="DO29" s="328">
        <v>18.8</v>
      </c>
      <c r="DP29" s="328">
        <v>32.9</v>
      </c>
      <c r="DQ29" s="344">
        <v>251.7</v>
      </c>
      <c r="DR29" s="332">
        <f t="shared" si="19"/>
        <v>44.3</v>
      </c>
      <c r="DS29" s="332">
        <f t="shared" si="20"/>
        <v>84.1</v>
      </c>
      <c r="DT29" s="332">
        <f t="shared" si="21"/>
        <v>54.2</v>
      </c>
      <c r="DU29" s="332">
        <f t="shared" si="22"/>
        <v>69.5</v>
      </c>
      <c r="DV29" s="359">
        <v>13</v>
      </c>
      <c r="DW29" s="332">
        <v>12.2</v>
      </c>
      <c r="DX29" s="332">
        <v>19.1</v>
      </c>
      <c r="DY29" s="350">
        <v>12.6</v>
      </c>
      <c r="DZ29" s="343">
        <v>16.2</v>
      </c>
      <c r="EA29" s="350">
        <v>55.3</v>
      </c>
      <c r="EB29" s="343">
        <v>14.3</v>
      </c>
      <c r="EC29" s="343">
        <v>16</v>
      </c>
      <c r="ED29" s="343">
        <v>23.9</v>
      </c>
      <c r="EE29" s="343">
        <v>22.2</v>
      </c>
      <c r="EF29" s="343">
        <v>21.3</v>
      </c>
      <c r="EG29" s="343">
        <v>26</v>
      </c>
      <c r="EH29" s="343">
        <v>11.9</v>
      </c>
      <c r="EI29" s="343">
        <v>19.7</v>
      </c>
      <c r="EJ29" s="368">
        <v>16.8</v>
      </c>
      <c r="EK29" s="343">
        <v>13.4</v>
      </c>
      <c r="EL29" s="343">
        <v>24.6</v>
      </c>
    </row>
    <row r="30" spans="1:142" ht="12.75">
      <c r="A30" s="275" t="s">
        <v>122</v>
      </c>
      <c r="B30" s="294">
        <f t="shared" si="39"/>
        <v>746.8</v>
      </c>
      <c r="C30" s="134">
        <f t="shared" si="28"/>
        <v>164.7</v>
      </c>
      <c r="D30" s="134">
        <f t="shared" si="23"/>
        <v>196.7</v>
      </c>
      <c r="E30" s="134">
        <f t="shared" si="24"/>
        <v>193.4</v>
      </c>
      <c r="F30" s="134">
        <f t="shared" si="25"/>
        <v>192</v>
      </c>
      <c r="G30" s="127">
        <v>37.4</v>
      </c>
      <c r="H30" s="127">
        <v>62.4</v>
      </c>
      <c r="I30" s="127">
        <v>64.9</v>
      </c>
      <c r="J30" s="134">
        <v>56.8</v>
      </c>
      <c r="K30" s="134">
        <v>64.8</v>
      </c>
      <c r="L30" s="134">
        <v>75.1</v>
      </c>
      <c r="M30" s="134">
        <v>74.9</v>
      </c>
      <c r="N30" s="134">
        <v>59.2</v>
      </c>
      <c r="O30" s="127">
        <v>59.3</v>
      </c>
      <c r="P30" s="134">
        <v>74.6</v>
      </c>
      <c r="Q30" s="127">
        <v>54.2</v>
      </c>
      <c r="R30" s="134">
        <v>63.2</v>
      </c>
      <c r="S30" s="181">
        <v>607.6</v>
      </c>
      <c r="T30" s="134">
        <f t="shared" si="6"/>
        <v>132.9</v>
      </c>
      <c r="U30" s="134">
        <f t="shared" si="7"/>
        <v>176</v>
      </c>
      <c r="V30" s="134">
        <f t="shared" si="8"/>
        <v>128.8</v>
      </c>
      <c r="W30" s="134">
        <f t="shared" si="9"/>
        <v>169.9</v>
      </c>
      <c r="X30" s="127">
        <v>34.3</v>
      </c>
      <c r="Y30" s="127">
        <v>46.8</v>
      </c>
      <c r="Z30" s="127">
        <v>51.8</v>
      </c>
      <c r="AA30" s="134">
        <v>59.6</v>
      </c>
      <c r="AB30" s="134">
        <v>50.4</v>
      </c>
      <c r="AC30" s="134">
        <v>66</v>
      </c>
      <c r="AD30" s="134">
        <v>50.7</v>
      </c>
      <c r="AE30" s="134">
        <v>37</v>
      </c>
      <c r="AF30" s="127">
        <v>41.1</v>
      </c>
      <c r="AG30" s="134">
        <v>63.8</v>
      </c>
      <c r="AH30" s="127">
        <v>60.2</v>
      </c>
      <c r="AI30" s="127">
        <v>45.9</v>
      </c>
      <c r="AJ30" s="134">
        <f t="shared" si="10"/>
        <v>905.7</v>
      </c>
      <c r="AK30" s="134">
        <f t="shared" si="11"/>
        <v>191.4</v>
      </c>
      <c r="AL30" s="134">
        <f t="shared" si="12"/>
        <v>223.7</v>
      </c>
      <c r="AM30" s="134">
        <f t="shared" si="26"/>
        <v>227.8</v>
      </c>
      <c r="AN30" s="134">
        <f t="shared" si="1"/>
        <v>262.8</v>
      </c>
      <c r="AO30" s="127">
        <v>50.8</v>
      </c>
      <c r="AP30" s="127">
        <v>53.4</v>
      </c>
      <c r="AQ30" s="127">
        <v>87.2</v>
      </c>
      <c r="AR30" s="127">
        <v>74.9</v>
      </c>
      <c r="AS30" s="127">
        <v>72.8</v>
      </c>
      <c r="AT30" s="127">
        <v>76</v>
      </c>
      <c r="AU30" s="127">
        <v>63</v>
      </c>
      <c r="AV30" s="127">
        <v>91.1</v>
      </c>
      <c r="AW30" s="127">
        <v>73.7</v>
      </c>
      <c r="AX30" s="127">
        <v>70</v>
      </c>
      <c r="AY30" s="127">
        <v>106</v>
      </c>
      <c r="AZ30" s="127">
        <v>86.8</v>
      </c>
      <c r="BA30" s="192">
        <f t="shared" si="27"/>
        <v>1210.7</v>
      </c>
      <c r="BB30" s="192">
        <f t="shared" si="13"/>
        <v>271.4</v>
      </c>
      <c r="BC30" s="192">
        <f t="shared" si="14"/>
        <v>286.2</v>
      </c>
      <c r="BD30" s="192">
        <f t="shared" si="15"/>
        <v>319.7</v>
      </c>
      <c r="BE30" s="192">
        <f t="shared" si="16"/>
        <v>333.4</v>
      </c>
      <c r="BF30" s="127">
        <v>92</v>
      </c>
      <c r="BG30" s="318">
        <v>94.6</v>
      </c>
      <c r="BH30" s="127">
        <v>84.8</v>
      </c>
      <c r="BI30" s="318">
        <v>91.7</v>
      </c>
      <c r="BJ30" s="318">
        <v>105.7</v>
      </c>
      <c r="BK30" s="318">
        <v>88.8</v>
      </c>
      <c r="BL30" s="318">
        <v>112.1</v>
      </c>
      <c r="BM30" s="318">
        <v>118.9</v>
      </c>
      <c r="BN30" s="318">
        <v>88.7</v>
      </c>
      <c r="BO30" s="318">
        <v>112.5</v>
      </c>
      <c r="BP30" s="318">
        <v>108.4</v>
      </c>
      <c r="BQ30" s="127">
        <v>112.5</v>
      </c>
      <c r="BR30" s="192">
        <f t="shared" si="30"/>
        <v>950.4</v>
      </c>
      <c r="BS30" s="192">
        <f t="shared" si="31"/>
        <v>263.4</v>
      </c>
      <c r="BT30" s="192">
        <f t="shared" si="32"/>
        <v>233.3</v>
      </c>
      <c r="BU30" s="192">
        <f t="shared" si="33"/>
        <v>252.7</v>
      </c>
      <c r="BV30" s="192">
        <f t="shared" si="34"/>
        <v>201</v>
      </c>
      <c r="BW30" s="127">
        <v>83.9</v>
      </c>
      <c r="BX30" s="127">
        <v>93.9</v>
      </c>
      <c r="BY30" s="127">
        <v>85.6</v>
      </c>
      <c r="BZ30" s="127">
        <v>80.9</v>
      </c>
      <c r="CA30" s="127">
        <v>61</v>
      </c>
      <c r="CB30" s="127">
        <v>91.4</v>
      </c>
      <c r="CC30" s="127">
        <v>88.6</v>
      </c>
      <c r="CD30" s="127">
        <v>81.5</v>
      </c>
      <c r="CE30" s="127">
        <v>82.6</v>
      </c>
      <c r="CF30" s="127">
        <v>69.8</v>
      </c>
      <c r="CG30" s="127">
        <v>65.6</v>
      </c>
      <c r="CH30" s="127">
        <v>65.6</v>
      </c>
      <c r="CI30" s="192">
        <v>1332.2</v>
      </c>
      <c r="CJ30" s="343">
        <f t="shared" si="35"/>
        <v>288.6</v>
      </c>
      <c r="CK30" s="343">
        <f t="shared" si="36"/>
        <v>312.2</v>
      </c>
      <c r="CL30" s="343">
        <f t="shared" si="37"/>
        <v>354.2</v>
      </c>
      <c r="CM30" s="343">
        <f t="shared" si="38"/>
        <v>377.2</v>
      </c>
      <c r="CN30" s="328">
        <v>101.4</v>
      </c>
      <c r="CO30" s="328">
        <v>95.1</v>
      </c>
      <c r="CP30" s="328">
        <v>92.1</v>
      </c>
      <c r="CQ30" s="328">
        <v>107.1</v>
      </c>
      <c r="CR30" s="332">
        <v>93.2</v>
      </c>
      <c r="CS30" s="332">
        <v>111.9</v>
      </c>
      <c r="CT30" s="328">
        <v>123.5</v>
      </c>
      <c r="CU30" s="328">
        <v>110.1</v>
      </c>
      <c r="CV30" s="328">
        <v>120.6</v>
      </c>
      <c r="CW30" s="328">
        <v>119</v>
      </c>
      <c r="CX30" s="328">
        <v>126.7</v>
      </c>
      <c r="CY30" s="328">
        <v>131.5</v>
      </c>
      <c r="CZ30" s="192">
        <f t="shared" si="18"/>
        <v>1206.3</v>
      </c>
      <c r="DA30" s="343">
        <f t="shared" si="2"/>
        <v>309.3</v>
      </c>
      <c r="DB30" s="343">
        <f t="shared" si="3"/>
        <v>283.7</v>
      </c>
      <c r="DC30" s="343">
        <f t="shared" si="4"/>
        <v>283.6</v>
      </c>
      <c r="DD30" s="343">
        <f t="shared" si="5"/>
        <v>329.7</v>
      </c>
      <c r="DE30" s="328">
        <v>106.9</v>
      </c>
      <c r="DF30" s="332">
        <v>102.6</v>
      </c>
      <c r="DG30" s="328">
        <v>99.8</v>
      </c>
      <c r="DH30" s="328">
        <v>106.6</v>
      </c>
      <c r="DI30" s="332">
        <v>81.2</v>
      </c>
      <c r="DJ30" s="332">
        <v>95.9</v>
      </c>
      <c r="DK30" s="328">
        <v>94.8</v>
      </c>
      <c r="DL30" s="328">
        <v>93.2</v>
      </c>
      <c r="DM30" s="328">
        <v>95.6</v>
      </c>
      <c r="DN30" s="328">
        <v>112.2</v>
      </c>
      <c r="DO30" s="328">
        <v>105.3</v>
      </c>
      <c r="DP30" s="328">
        <v>112.2</v>
      </c>
      <c r="DQ30" s="344">
        <v>1500.3</v>
      </c>
      <c r="DR30" s="332">
        <f t="shared" si="19"/>
        <v>297.6</v>
      </c>
      <c r="DS30" s="332">
        <f t="shared" si="20"/>
        <v>322.1</v>
      </c>
      <c r="DT30" s="332">
        <f t="shared" si="21"/>
        <v>402.5</v>
      </c>
      <c r="DU30" s="332">
        <f t="shared" si="22"/>
        <v>434.5</v>
      </c>
      <c r="DV30" s="359">
        <v>101.3</v>
      </c>
      <c r="DW30" s="332">
        <v>110</v>
      </c>
      <c r="DX30" s="332">
        <v>86.3</v>
      </c>
      <c r="DY30" s="343">
        <v>111.1</v>
      </c>
      <c r="DZ30" s="343">
        <v>113.2</v>
      </c>
      <c r="EA30" s="343">
        <v>97.8</v>
      </c>
      <c r="EB30" s="343">
        <v>139.2</v>
      </c>
      <c r="EC30" s="343">
        <v>132.8</v>
      </c>
      <c r="ED30" s="343">
        <v>130.5</v>
      </c>
      <c r="EE30" s="343">
        <v>114.2</v>
      </c>
      <c r="EF30" s="343">
        <v>165</v>
      </c>
      <c r="EG30" s="343">
        <v>155.3</v>
      </c>
      <c r="EH30" s="343">
        <v>155.5</v>
      </c>
      <c r="EI30" s="343">
        <v>72.6</v>
      </c>
      <c r="EJ30" s="368">
        <v>101.9</v>
      </c>
      <c r="EK30" s="343">
        <v>164.9</v>
      </c>
      <c r="EL30" s="343">
        <v>160.4</v>
      </c>
    </row>
    <row r="31" spans="1:142" ht="12.75">
      <c r="A31" s="275" t="s">
        <v>123</v>
      </c>
      <c r="B31" s="294">
        <f t="shared" si="39"/>
        <v>1318.6</v>
      </c>
      <c r="C31" s="134">
        <f t="shared" si="28"/>
        <v>307.8</v>
      </c>
      <c r="D31" s="134">
        <f t="shared" si="23"/>
        <v>313.6</v>
      </c>
      <c r="E31" s="134">
        <f t="shared" si="24"/>
        <v>372.7</v>
      </c>
      <c r="F31" s="134">
        <f t="shared" si="25"/>
        <v>324.5</v>
      </c>
      <c r="G31" s="134">
        <v>76.4</v>
      </c>
      <c r="H31" s="134">
        <v>110.1</v>
      </c>
      <c r="I31" s="134">
        <v>121.3</v>
      </c>
      <c r="J31" s="134">
        <v>107.7</v>
      </c>
      <c r="K31" s="134">
        <v>89.1</v>
      </c>
      <c r="L31" s="134">
        <v>116.8</v>
      </c>
      <c r="M31" s="134">
        <v>106.1</v>
      </c>
      <c r="N31" s="134">
        <v>114.9</v>
      </c>
      <c r="O31" s="134">
        <v>151.7</v>
      </c>
      <c r="P31" s="134">
        <v>102.5</v>
      </c>
      <c r="Q31" s="134">
        <v>107.3</v>
      </c>
      <c r="R31" s="134">
        <v>114.7</v>
      </c>
      <c r="S31" s="297">
        <v>1193.7</v>
      </c>
      <c r="T31" s="134">
        <f t="shared" si="6"/>
        <v>239.7</v>
      </c>
      <c r="U31" s="134">
        <f t="shared" si="7"/>
        <v>249.1</v>
      </c>
      <c r="V31" s="134">
        <f t="shared" si="8"/>
        <v>296.2</v>
      </c>
      <c r="W31" s="134">
        <f t="shared" si="9"/>
        <v>408.7</v>
      </c>
      <c r="X31" s="134">
        <v>73.2</v>
      </c>
      <c r="Y31" s="134">
        <v>77.2</v>
      </c>
      <c r="Z31" s="134">
        <v>89.3</v>
      </c>
      <c r="AA31" s="134">
        <v>79.2</v>
      </c>
      <c r="AB31" s="134">
        <v>87.8</v>
      </c>
      <c r="AC31" s="134">
        <v>82.1</v>
      </c>
      <c r="AD31" s="134">
        <v>90.5</v>
      </c>
      <c r="AE31" s="134">
        <v>93.8</v>
      </c>
      <c r="AF31" s="134">
        <v>111.9</v>
      </c>
      <c r="AG31" s="134">
        <v>130.4</v>
      </c>
      <c r="AH31" s="134">
        <v>136.5</v>
      </c>
      <c r="AI31" s="127">
        <v>141.8</v>
      </c>
      <c r="AJ31" s="134">
        <f t="shared" si="10"/>
        <v>1231.4</v>
      </c>
      <c r="AK31" s="134">
        <f t="shared" si="11"/>
        <v>280.6</v>
      </c>
      <c r="AL31" s="134">
        <f t="shared" si="12"/>
        <v>289.6</v>
      </c>
      <c r="AM31" s="134">
        <f t="shared" si="26"/>
        <v>340.6</v>
      </c>
      <c r="AN31" s="134">
        <f t="shared" si="1"/>
        <v>320.6</v>
      </c>
      <c r="AO31" s="127">
        <v>75.3</v>
      </c>
      <c r="AP31" s="127">
        <v>110.6</v>
      </c>
      <c r="AQ31" s="127">
        <v>94.7</v>
      </c>
      <c r="AR31" s="127">
        <v>84.2</v>
      </c>
      <c r="AS31" s="127">
        <v>119.3</v>
      </c>
      <c r="AT31" s="127">
        <v>86.1</v>
      </c>
      <c r="AU31" s="127">
        <v>103.6</v>
      </c>
      <c r="AV31" s="127">
        <v>116.8</v>
      </c>
      <c r="AW31" s="127">
        <v>120.2</v>
      </c>
      <c r="AX31" s="127">
        <v>106.6</v>
      </c>
      <c r="AY31" s="127">
        <v>95.7</v>
      </c>
      <c r="AZ31" s="127">
        <v>118.3</v>
      </c>
      <c r="BA31" s="192">
        <f t="shared" si="27"/>
        <v>1547.3</v>
      </c>
      <c r="BB31" s="192">
        <f t="shared" si="13"/>
        <v>301.8</v>
      </c>
      <c r="BC31" s="192">
        <f t="shared" si="14"/>
        <v>301.8</v>
      </c>
      <c r="BD31" s="192">
        <f t="shared" si="15"/>
        <v>425.8</v>
      </c>
      <c r="BE31" s="192">
        <f t="shared" si="16"/>
        <v>517.9</v>
      </c>
      <c r="BF31" s="127">
        <v>82.1</v>
      </c>
      <c r="BG31" s="318">
        <v>101.1</v>
      </c>
      <c r="BH31" s="127">
        <v>118.6</v>
      </c>
      <c r="BI31" s="318">
        <v>97.7</v>
      </c>
      <c r="BJ31" s="318">
        <v>92.8</v>
      </c>
      <c r="BK31" s="318">
        <v>111.3</v>
      </c>
      <c r="BL31" s="318">
        <v>135.9</v>
      </c>
      <c r="BM31" s="318">
        <v>148.3</v>
      </c>
      <c r="BN31" s="318">
        <v>141.6</v>
      </c>
      <c r="BO31" s="318">
        <v>165.2</v>
      </c>
      <c r="BP31" s="318">
        <v>166.2</v>
      </c>
      <c r="BQ31" s="127">
        <v>186.5</v>
      </c>
      <c r="BR31" s="192">
        <f t="shared" si="30"/>
        <v>2053.8</v>
      </c>
      <c r="BS31" s="192">
        <f t="shared" si="31"/>
        <v>457.9</v>
      </c>
      <c r="BT31" s="192">
        <f t="shared" si="32"/>
        <v>465.8</v>
      </c>
      <c r="BU31" s="192">
        <f t="shared" si="33"/>
        <v>515.6</v>
      </c>
      <c r="BV31" s="192">
        <f t="shared" si="34"/>
        <v>614.5</v>
      </c>
      <c r="BW31" s="127">
        <v>145.9</v>
      </c>
      <c r="BX31" s="127">
        <v>153.3</v>
      </c>
      <c r="BY31" s="127">
        <v>158.7</v>
      </c>
      <c r="BZ31" s="127">
        <v>150.6</v>
      </c>
      <c r="CA31" s="127">
        <v>165.1</v>
      </c>
      <c r="CB31" s="127">
        <v>150.1</v>
      </c>
      <c r="CC31" s="127">
        <v>164.3</v>
      </c>
      <c r="CD31" s="127">
        <v>172</v>
      </c>
      <c r="CE31" s="127">
        <v>179.3</v>
      </c>
      <c r="CF31" s="127">
        <v>188.7</v>
      </c>
      <c r="CG31" s="127">
        <v>215.7</v>
      </c>
      <c r="CH31" s="127">
        <v>210.1</v>
      </c>
      <c r="CI31" s="192">
        <v>2130.7</v>
      </c>
      <c r="CJ31" s="343">
        <f t="shared" si="35"/>
        <v>451.7</v>
      </c>
      <c r="CK31" s="343">
        <f t="shared" si="36"/>
        <v>501.8</v>
      </c>
      <c r="CL31" s="343">
        <f t="shared" si="37"/>
        <v>564.9</v>
      </c>
      <c r="CM31" s="343">
        <f t="shared" si="38"/>
        <v>611.7</v>
      </c>
      <c r="CN31" s="328">
        <v>145</v>
      </c>
      <c r="CO31" s="328">
        <v>146.1</v>
      </c>
      <c r="CP31" s="328">
        <v>160.6</v>
      </c>
      <c r="CQ31" s="328">
        <v>180.5</v>
      </c>
      <c r="CR31" s="332">
        <v>149.1</v>
      </c>
      <c r="CS31" s="332">
        <v>172.2</v>
      </c>
      <c r="CT31" s="328">
        <v>164.9</v>
      </c>
      <c r="CU31" s="328">
        <v>193.2</v>
      </c>
      <c r="CV31" s="328">
        <v>206.8</v>
      </c>
      <c r="CW31" s="328">
        <v>169.2</v>
      </c>
      <c r="CX31" s="328">
        <v>217.9</v>
      </c>
      <c r="CY31" s="328">
        <v>224.6</v>
      </c>
      <c r="CZ31" s="192">
        <f t="shared" si="18"/>
        <v>2302.4</v>
      </c>
      <c r="DA31" s="343">
        <f t="shared" si="2"/>
        <v>418</v>
      </c>
      <c r="DB31" s="343">
        <f t="shared" si="3"/>
        <v>468.5</v>
      </c>
      <c r="DC31" s="343">
        <f t="shared" si="4"/>
        <v>538.1</v>
      </c>
      <c r="DD31" s="343">
        <f t="shared" si="5"/>
        <v>877.8</v>
      </c>
      <c r="DE31" s="328">
        <v>134.1</v>
      </c>
      <c r="DF31" s="332">
        <v>138.6</v>
      </c>
      <c r="DG31" s="328">
        <v>145.3</v>
      </c>
      <c r="DH31" s="328">
        <v>124.6</v>
      </c>
      <c r="DI31" s="332">
        <v>139.5</v>
      </c>
      <c r="DJ31" s="332">
        <v>204.4</v>
      </c>
      <c r="DK31" s="328">
        <v>144.4</v>
      </c>
      <c r="DL31" s="328">
        <v>203.5</v>
      </c>
      <c r="DM31" s="328">
        <v>190.2</v>
      </c>
      <c r="DN31" s="328">
        <v>266.4</v>
      </c>
      <c r="DO31" s="328">
        <v>249.5</v>
      </c>
      <c r="DP31" s="328">
        <v>361.9</v>
      </c>
      <c r="DQ31" s="344">
        <v>2834.4</v>
      </c>
      <c r="DR31" s="332">
        <f t="shared" si="19"/>
        <v>862</v>
      </c>
      <c r="DS31" s="332">
        <f t="shared" si="20"/>
        <v>650.3</v>
      </c>
      <c r="DT31" s="332">
        <f t="shared" si="21"/>
        <v>772</v>
      </c>
      <c r="DU31" s="332">
        <f t="shared" si="22"/>
        <v>700.4</v>
      </c>
      <c r="DV31" s="359">
        <v>229.7</v>
      </c>
      <c r="DW31" s="332">
        <v>268.1</v>
      </c>
      <c r="DX31" s="332">
        <v>364.2</v>
      </c>
      <c r="DY31" s="350">
        <v>227.9</v>
      </c>
      <c r="DZ31" s="343">
        <v>204.7</v>
      </c>
      <c r="EA31" s="350">
        <v>217.7</v>
      </c>
      <c r="EB31" s="343">
        <v>277.4</v>
      </c>
      <c r="EC31" s="343">
        <v>283</v>
      </c>
      <c r="ED31" s="343">
        <v>211.6</v>
      </c>
      <c r="EE31" s="343">
        <v>193</v>
      </c>
      <c r="EF31" s="343">
        <v>217.4</v>
      </c>
      <c r="EG31" s="343">
        <v>290</v>
      </c>
      <c r="EH31" s="343">
        <v>177.5</v>
      </c>
      <c r="EI31" s="343">
        <v>186.1</v>
      </c>
      <c r="EJ31" s="368">
        <v>314.5</v>
      </c>
      <c r="EK31" s="343">
        <v>230.6</v>
      </c>
      <c r="EL31" s="343">
        <v>179.2</v>
      </c>
    </row>
    <row r="32" spans="1:142" ht="12.75">
      <c r="A32" s="275"/>
      <c r="B32" s="294"/>
      <c r="C32" s="123"/>
      <c r="D32" s="134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306"/>
      <c r="R32" s="306"/>
      <c r="S32" s="297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34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92"/>
      <c r="BB32" s="192"/>
      <c r="BC32" s="192"/>
      <c r="BD32" s="192"/>
      <c r="BE32" s="192"/>
      <c r="BF32" s="123"/>
      <c r="BG32" s="123"/>
      <c r="BH32" s="123"/>
      <c r="BI32" s="123"/>
      <c r="BJ32" s="123"/>
      <c r="BK32" s="123"/>
      <c r="BL32" s="316"/>
      <c r="BM32" s="123"/>
      <c r="BN32" s="123"/>
      <c r="BO32" s="316"/>
      <c r="BP32" s="123"/>
      <c r="BQ32" s="123"/>
      <c r="BR32" s="192"/>
      <c r="BS32" s="192"/>
      <c r="BT32" s="192"/>
      <c r="BU32" s="192"/>
      <c r="BV32" s="192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92"/>
      <c r="CJ32" s="343"/>
      <c r="CK32" s="343"/>
      <c r="CL32" s="343"/>
      <c r="CM32" s="343"/>
      <c r="CN32" s="326"/>
      <c r="CO32" s="326"/>
      <c r="CP32" s="326"/>
      <c r="CQ32" s="326"/>
      <c r="CR32" s="327"/>
      <c r="CS32" s="327"/>
      <c r="CT32" s="326"/>
      <c r="CU32" s="326"/>
      <c r="CV32" s="326"/>
      <c r="CW32" s="326"/>
      <c r="CX32" s="326"/>
      <c r="CY32" s="326"/>
      <c r="CZ32" s="257"/>
      <c r="DA32" s="343">
        <f t="shared" si="2"/>
        <v>0</v>
      </c>
      <c r="DB32" s="342">
        <f t="shared" si="3"/>
        <v>0</v>
      </c>
      <c r="DC32" s="342">
        <f t="shared" si="4"/>
        <v>0</v>
      </c>
      <c r="DD32" s="342">
        <f t="shared" si="5"/>
        <v>0</v>
      </c>
      <c r="DE32" s="326"/>
      <c r="DF32" s="326"/>
      <c r="DG32" s="326"/>
      <c r="DH32" s="326"/>
      <c r="DI32" s="327"/>
      <c r="DJ32" s="327"/>
      <c r="DK32" s="326"/>
      <c r="DL32" s="326"/>
      <c r="DM32" s="326"/>
      <c r="DN32" s="326"/>
      <c r="DO32" s="326"/>
      <c r="DP32" s="326"/>
      <c r="DQ32" s="358"/>
      <c r="DR32" s="332"/>
      <c r="DS32" s="332"/>
      <c r="DT32" s="332"/>
      <c r="DU32" s="332"/>
      <c r="DV32" s="361"/>
      <c r="DW32" s="343"/>
      <c r="DZ32" s="343"/>
      <c r="EA32" s="343"/>
      <c r="EB32" s="343"/>
      <c r="EC32" s="343"/>
      <c r="ED32" s="343"/>
      <c r="EE32" s="343"/>
      <c r="EG32" s="343"/>
      <c r="EH32" s="343"/>
      <c r="EI32" s="343"/>
      <c r="EK32" s="369"/>
      <c r="EL32" s="369"/>
    </row>
    <row r="33" spans="1:142" s="322" customFormat="1" ht="12.75">
      <c r="A33" s="274" t="s">
        <v>124</v>
      </c>
      <c r="B33" s="294">
        <f>SUM(G33:R33)</f>
        <v>23691.4</v>
      </c>
      <c r="C33" s="123">
        <f>G33+H33+I33</f>
        <v>8767.1</v>
      </c>
      <c r="D33" s="123">
        <f t="shared" si="23"/>
        <v>3877.8</v>
      </c>
      <c r="E33" s="123">
        <f t="shared" si="24"/>
        <v>3449.4</v>
      </c>
      <c r="F33" s="123">
        <f t="shared" si="25"/>
        <v>7597.1</v>
      </c>
      <c r="G33" s="277">
        <v>3110.8</v>
      </c>
      <c r="H33" s="260">
        <v>3046.2</v>
      </c>
      <c r="I33" s="260">
        <v>2610.1</v>
      </c>
      <c r="J33" s="123">
        <v>1715.6</v>
      </c>
      <c r="K33" s="123">
        <v>1130</v>
      </c>
      <c r="L33" s="123">
        <v>1032.2</v>
      </c>
      <c r="M33" s="123">
        <v>1155.5</v>
      </c>
      <c r="N33" s="123">
        <v>1070</v>
      </c>
      <c r="O33" s="123">
        <v>1223.9</v>
      </c>
      <c r="P33" s="123">
        <v>1486.4</v>
      </c>
      <c r="Q33" s="277">
        <v>2621.6</v>
      </c>
      <c r="R33" s="125">
        <f>3665.6-176.5</f>
        <v>3489.1</v>
      </c>
      <c r="S33" s="301">
        <v>30856.5</v>
      </c>
      <c r="T33" s="123">
        <f t="shared" si="6"/>
        <v>11235.1</v>
      </c>
      <c r="U33" s="123">
        <f t="shared" si="7"/>
        <v>5153.9</v>
      </c>
      <c r="V33" s="123">
        <f t="shared" si="8"/>
        <v>4772.2</v>
      </c>
      <c r="W33" s="125">
        <f t="shared" si="9"/>
        <v>9695.3</v>
      </c>
      <c r="X33" s="277">
        <v>4013.4</v>
      </c>
      <c r="Y33" s="277">
        <v>3967.6</v>
      </c>
      <c r="Z33" s="277">
        <v>3254.1</v>
      </c>
      <c r="AA33" s="277">
        <v>2181.5</v>
      </c>
      <c r="AB33" s="277">
        <v>1499.7</v>
      </c>
      <c r="AC33" s="277">
        <v>1472.7</v>
      </c>
      <c r="AD33" s="277">
        <v>1583.6</v>
      </c>
      <c r="AE33" s="277">
        <v>1553.7</v>
      </c>
      <c r="AF33" s="277">
        <v>1634.9</v>
      </c>
      <c r="AG33" s="277">
        <v>2098.2</v>
      </c>
      <c r="AH33" s="277">
        <v>3266.8</v>
      </c>
      <c r="AI33" s="277">
        <v>4330.3</v>
      </c>
      <c r="AJ33" s="125">
        <f t="shared" si="10"/>
        <v>32239.1</v>
      </c>
      <c r="AK33" s="123">
        <f t="shared" si="11"/>
        <v>12015.9</v>
      </c>
      <c r="AL33" s="123">
        <f t="shared" si="12"/>
        <v>5205.9</v>
      </c>
      <c r="AM33" s="123">
        <f t="shared" si="26"/>
        <v>4983.9</v>
      </c>
      <c r="AN33" s="123">
        <f t="shared" si="1"/>
        <v>10033.4</v>
      </c>
      <c r="AO33" s="123">
        <v>4704.9</v>
      </c>
      <c r="AP33" s="123">
        <v>4067.4</v>
      </c>
      <c r="AQ33" s="123">
        <v>3243.6</v>
      </c>
      <c r="AR33" s="123">
        <v>2002.6</v>
      </c>
      <c r="AS33" s="123">
        <v>1601.7</v>
      </c>
      <c r="AT33" s="123">
        <v>1601.6</v>
      </c>
      <c r="AU33" s="123">
        <v>1646.3</v>
      </c>
      <c r="AV33" s="123">
        <v>1713.5</v>
      </c>
      <c r="AW33" s="123">
        <v>1624.1</v>
      </c>
      <c r="AX33" s="123">
        <v>2273.8</v>
      </c>
      <c r="AY33" s="123">
        <v>3606.2</v>
      </c>
      <c r="AZ33" s="123">
        <v>4153.4</v>
      </c>
      <c r="BA33" s="257">
        <f t="shared" si="27"/>
        <v>34900.7</v>
      </c>
      <c r="BB33" s="257">
        <f t="shared" si="13"/>
        <v>12504.5</v>
      </c>
      <c r="BC33" s="257">
        <f t="shared" si="14"/>
        <v>6130</v>
      </c>
      <c r="BD33" s="257">
        <f t="shared" si="15"/>
        <v>6260.3</v>
      </c>
      <c r="BE33" s="257">
        <f t="shared" si="16"/>
        <v>10005.9</v>
      </c>
      <c r="BF33" s="123">
        <v>4415.3</v>
      </c>
      <c r="BG33" s="131">
        <f>SUM(BG34:BG37)</f>
        <v>4232.4</v>
      </c>
      <c r="BH33" s="123">
        <v>3856.8</v>
      </c>
      <c r="BI33" s="321">
        <v>2520</v>
      </c>
      <c r="BJ33" s="321">
        <v>1758.4</v>
      </c>
      <c r="BK33" s="321">
        <v>1851.6</v>
      </c>
      <c r="BL33" s="321">
        <v>2278.9</v>
      </c>
      <c r="BM33" s="321">
        <v>2064.7</v>
      </c>
      <c r="BN33" s="321">
        <v>1916.7</v>
      </c>
      <c r="BO33" s="321">
        <v>2387.2</v>
      </c>
      <c r="BP33" s="321">
        <v>3181</v>
      </c>
      <c r="BQ33" s="123">
        <v>4437.7</v>
      </c>
      <c r="BR33" s="257">
        <f>SUM(BS33:BV33)</f>
        <v>38337.9</v>
      </c>
      <c r="BS33" s="257">
        <f>SUM(BW33:BY33)</f>
        <v>13339.1</v>
      </c>
      <c r="BT33" s="257">
        <f>SUM(BZ33:CB33)</f>
        <v>6142.1</v>
      </c>
      <c r="BU33" s="257">
        <f>SUM(CC33:CE33)</f>
        <v>6619.2</v>
      </c>
      <c r="BV33" s="257">
        <f>SUM(CF33:CH33)</f>
        <v>12237.5</v>
      </c>
      <c r="BW33" s="123">
        <v>5176.9</v>
      </c>
      <c r="BX33" s="123">
        <v>4697.3</v>
      </c>
      <c r="BY33" s="123">
        <v>3464.9</v>
      </c>
      <c r="BZ33" s="123">
        <v>2258.3</v>
      </c>
      <c r="CA33" s="123">
        <v>1949.8</v>
      </c>
      <c r="CB33" s="123">
        <v>1934</v>
      </c>
      <c r="CC33" s="123">
        <v>2315.7</v>
      </c>
      <c r="CD33" s="123">
        <v>2250.8</v>
      </c>
      <c r="CE33" s="123">
        <v>2052.7</v>
      </c>
      <c r="CF33" s="123">
        <v>2704</v>
      </c>
      <c r="CG33" s="123">
        <v>4325.2</v>
      </c>
      <c r="CH33" s="123">
        <v>5208.3</v>
      </c>
      <c r="CI33" s="257">
        <v>36781.4</v>
      </c>
      <c r="CJ33" s="342">
        <f>SUM(CN33:CP33)</f>
        <v>12499.9</v>
      </c>
      <c r="CK33" s="342">
        <f>SUM(CQ33:CS33)</f>
        <v>6462.3</v>
      </c>
      <c r="CL33" s="342">
        <f>SUM(CT33:CV33)</f>
        <v>6041.5</v>
      </c>
      <c r="CM33" s="342">
        <f>SUM(CW33:CY33)</f>
        <v>11777.6</v>
      </c>
      <c r="CN33" s="326">
        <v>4715.6</v>
      </c>
      <c r="CO33" s="326">
        <v>4385.6</v>
      </c>
      <c r="CP33" s="326">
        <v>3398.7</v>
      </c>
      <c r="CQ33" s="326">
        <v>2383.1</v>
      </c>
      <c r="CR33" s="327">
        <v>2077.2</v>
      </c>
      <c r="CS33" s="327">
        <v>2002</v>
      </c>
      <c r="CT33" s="327">
        <v>2105.9</v>
      </c>
      <c r="CU33" s="327">
        <v>1982.1</v>
      </c>
      <c r="CV33" s="327">
        <v>1953.5</v>
      </c>
      <c r="CW33" s="327">
        <v>2405.8</v>
      </c>
      <c r="CX33" s="326">
        <v>4188.8</v>
      </c>
      <c r="CY33" s="326">
        <v>5183</v>
      </c>
      <c r="CZ33" s="257">
        <f t="shared" si="18"/>
        <v>37543.8</v>
      </c>
      <c r="DA33" s="342">
        <f t="shared" si="2"/>
        <v>13018.2</v>
      </c>
      <c r="DB33" s="342">
        <f t="shared" si="3"/>
        <v>5876.5</v>
      </c>
      <c r="DC33" s="342">
        <f t="shared" si="4"/>
        <v>5845.2</v>
      </c>
      <c r="DD33" s="342">
        <f t="shared" si="5"/>
        <v>12803.9</v>
      </c>
      <c r="DE33" s="326">
        <v>5080</v>
      </c>
      <c r="DF33" s="326">
        <v>4401.5</v>
      </c>
      <c r="DG33" s="326">
        <v>3536.7</v>
      </c>
      <c r="DH33" s="326">
        <v>2189.4</v>
      </c>
      <c r="DI33" s="327">
        <v>1852</v>
      </c>
      <c r="DJ33" s="327">
        <v>1835.1</v>
      </c>
      <c r="DK33" s="327">
        <v>1914.4</v>
      </c>
      <c r="DL33" s="327">
        <v>1921.6</v>
      </c>
      <c r="DM33" s="327">
        <v>2009.2</v>
      </c>
      <c r="DN33" s="327">
        <v>2852.1</v>
      </c>
      <c r="DO33" s="326">
        <v>4510.4</v>
      </c>
      <c r="DP33" s="326">
        <v>5441.4</v>
      </c>
      <c r="DQ33" s="356">
        <v>41517</v>
      </c>
      <c r="DR33" s="327">
        <f t="shared" si="19"/>
        <v>14145</v>
      </c>
      <c r="DS33" s="327">
        <f t="shared" si="20"/>
        <v>7075</v>
      </c>
      <c r="DT33" s="327">
        <f t="shared" si="21"/>
        <v>6358</v>
      </c>
      <c r="DU33" s="327">
        <f t="shared" si="22"/>
        <v>13291.9</v>
      </c>
      <c r="DV33" s="361">
        <v>5594.4</v>
      </c>
      <c r="DW33" s="342">
        <v>4527.3</v>
      </c>
      <c r="DX33" s="342">
        <v>4023.3</v>
      </c>
      <c r="DY33" s="342">
        <v>2877.1</v>
      </c>
      <c r="DZ33" s="342">
        <v>2178.5</v>
      </c>
      <c r="EA33" s="342">
        <v>2019.4</v>
      </c>
      <c r="EB33" s="342">
        <v>2141.9</v>
      </c>
      <c r="EC33" s="342">
        <v>2186.6</v>
      </c>
      <c r="ED33" s="342">
        <v>2029.5</v>
      </c>
      <c r="EE33" s="342">
        <v>3166</v>
      </c>
      <c r="EF33" s="342">
        <v>4759.5</v>
      </c>
      <c r="EG33" s="342">
        <v>5366.4</v>
      </c>
      <c r="EH33" s="342">
        <v>5226.6</v>
      </c>
      <c r="EI33" s="342">
        <v>4904.1</v>
      </c>
      <c r="EJ33" s="367">
        <v>4474.9</v>
      </c>
      <c r="EK33" s="342">
        <v>2899.3</v>
      </c>
      <c r="EL33" s="342">
        <v>2417</v>
      </c>
    </row>
    <row r="34" spans="1:142" ht="12.75">
      <c r="A34" s="275" t="s">
        <v>125</v>
      </c>
      <c r="B34" s="294">
        <f>SUM(G34:R34)</f>
        <v>17573.5</v>
      </c>
      <c r="C34" s="134">
        <f>G34+H34+I34</f>
        <v>5980.7</v>
      </c>
      <c r="D34" s="134">
        <f t="shared" si="23"/>
        <v>3107.1</v>
      </c>
      <c r="E34" s="134">
        <f t="shared" si="24"/>
        <v>2852</v>
      </c>
      <c r="F34" s="134">
        <f t="shared" si="25"/>
        <v>5633.7</v>
      </c>
      <c r="G34" s="276">
        <v>2124.3</v>
      </c>
      <c r="H34" s="278">
        <v>2029</v>
      </c>
      <c r="I34" s="276">
        <v>1827.4</v>
      </c>
      <c r="J34" s="134">
        <v>1290.9</v>
      </c>
      <c r="K34" s="134">
        <v>946.6</v>
      </c>
      <c r="L34" s="134">
        <v>869.6</v>
      </c>
      <c r="M34" s="134">
        <v>963.3</v>
      </c>
      <c r="N34" s="134">
        <v>871.7</v>
      </c>
      <c r="O34" s="282">
        <v>1017</v>
      </c>
      <c r="P34" s="134">
        <v>1247.1</v>
      </c>
      <c r="Q34" s="278">
        <v>1892.7</v>
      </c>
      <c r="R34" s="134">
        <v>2493.9</v>
      </c>
      <c r="S34" s="298">
        <v>24285.3</v>
      </c>
      <c r="T34" s="134">
        <f t="shared" si="6"/>
        <v>8149</v>
      </c>
      <c r="U34" s="134">
        <f t="shared" si="7"/>
        <v>4202.5</v>
      </c>
      <c r="V34" s="134">
        <f t="shared" si="8"/>
        <v>4212.9</v>
      </c>
      <c r="W34" s="134">
        <f t="shared" si="9"/>
        <v>7720.9</v>
      </c>
      <c r="X34" s="276">
        <v>2801.2</v>
      </c>
      <c r="Y34" s="278">
        <v>2970.5</v>
      </c>
      <c r="Z34" s="276">
        <v>2377.3</v>
      </c>
      <c r="AA34" s="134">
        <v>1687.3</v>
      </c>
      <c r="AB34" s="134">
        <v>1223.2</v>
      </c>
      <c r="AC34" s="134">
        <v>1292</v>
      </c>
      <c r="AD34" s="134">
        <v>1385.3</v>
      </c>
      <c r="AE34" s="134">
        <v>1366.2</v>
      </c>
      <c r="AF34" s="282">
        <v>1461.4</v>
      </c>
      <c r="AG34" s="134">
        <v>1835.2</v>
      </c>
      <c r="AH34" s="278">
        <v>2632.4</v>
      </c>
      <c r="AI34" s="278">
        <v>3253.3</v>
      </c>
      <c r="AJ34" s="134">
        <f t="shared" si="10"/>
        <v>25033</v>
      </c>
      <c r="AK34" s="134">
        <f t="shared" si="11"/>
        <v>8425</v>
      </c>
      <c r="AL34" s="134">
        <f t="shared" si="12"/>
        <v>4444.1</v>
      </c>
      <c r="AM34" s="134">
        <f t="shared" si="26"/>
        <v>4339.2</v>
      </c>
      <c r="AN34" s="134">
        <f t="shared" si="1"/>
        <v>7824.7</v>
      </c>
      <c r="AO34" s="278">
        <v>3372</v>
      </c>
      <c r="AP34" s="278">
        <v>2755.7</v>
      </c>
      <c r="AQ34" s="278">
        <v>2297.3</v>
      </c>
      <c r="AR34" s="278">
        <v>1666.8</v>
      </c>
      <c r="AS34" s="278">
        <v>1381.8</v>
      </c>
      <c r="AT34" s="278">
        <v>1395.5</v>
      </c>
      <c r="AU34" s="278">
        <v>1428.8</v>
      </c>
      <c r="AV34" s="278">
        <v>1499.1</v>
      </c>
      <c r="AW34" s="278">
        <v>1411.3</v>
      </c>
      <c r="AX34" s="278">
        <v>1962.3</v>
      </c>
      <c r="AY34" s="278">
        <v>2763</v>
      </c>
      <c r="AZ34" s="278">
        <v>3099.4</v>
      </c>
      <c r="BA34" s="192">
        <f t="shared" si="27"/>
        <v>27524.8</v>
      </c>
      <c r="BB34" s="192">
        <f t="shared" si="13"/>
        <v>8960.4</v>
      </c>
      <c r="BC34" s="192">
        <f t="shared" si="14"/>
        <v>5099.7</v>
      </c>
      <c r="BD34" s="192">
        <f t="shared" si="15"/>
        <v>5618.3</v>
      </c>
      <c r="BE34" s="192">
        <f t="shared" si="16"/>
        <v>7846.4</v>
      </c>
      <c r="BF34" s="278">
        <v>3154.4</v>
      </c>
      <c r="BG34" s="318">
        <v>2967</v>
      </c>
      <c r="BH34" s="278">
        <v>2839</v>
      </c>
      <c r="BI34" s="318">
        <v>1935</v>
      </c>
      <c r="BJ34" s="318">
        <v>1491.4</v>
      </c>
      <c r="BK34" s="318">
        <v>1673.3</v>
      </c>
      <c r="BL34" s="318">
        <v>2074.7</v>
      </c>
      <c r="BM34" s="318">
        <v>1850.1</v>
      </c>
      <c r="BN34" s="318">
        <v>1693.5</v>
      </c>
      <c r="BO34" s="318">
        <v>2079.5</v>
      </c>
      <c r="BP34" s="318">
        <v>2504.8</v>
      </c>
      <c r="BQ34" s="278">
        <v>3262.1</v>
      </c>
      <c r="BR34" s="192">
        <f>SUM(BS34:BV34)</f>
        <v>29635.5</v>
      </c>
      <c r="BS34" s="192">
        <f>SUM(BW34:BY34)</f>
        <v>9976.6</v>
      </c>
      <c r="BT34" s="192">
        <f>SUM(BZ34:CB34)</f>
        <v>5199.5</v>
      </c>
      <c r="BU34" s="192">
        <f>SUM(CC34:CE34)</f>
        <v>5437</v>
      </c>
      <c r="BV34" s="192">
        <f>SUM(CF34:CH34)</f>
        <v>9022.4</v>
      </c>
      <c r="BW34" s="278">
        <v>3761.6</v>
      </c>
      <c r="BX34" s="278">
        <v>3499.8</v>
      </c>
      <c r="BY34" s="278">
        <v>2715.2</v>
      </c>
      <c r="BZ34" s="278">
        <v>1930.9</v>
      </c>
      <c r="CA34" s="278">
        <v>1611.7</v>
      </c>
      <c r="CB34" s="278">
        <v>1656.9</v>
      </c>
      <c r="CC34" s="278">
        <v>1990.1</v>
      </c>
      <c r="CD34" s="278">
        <v>1845.5</v>
      </c>
      <c r="CE34" s="278">
        <v>1601.4</v>
      </c>
      <c r="CF34" s="278">
        <v>2127.2</v>
      </c>
      <c r="CG34" s="278">
        <v>3132.4</v>
      </c>
      <c r="CH34" s="278">
        <v>3762.8</v>
      </c>
      <c r="CI34" s="192">
        <v>28159.6</v>
      </c>
      <c r="CJ34" s="343">
        <f>SUM(CN34:CP34)</f>
        <v>9288.5</v>
      </c>
      <c r="CK34" s="343">
        <f>SUM(CQ34:CS34)</f>
        <v>5432.7</v>
      </c>
      <c r="CL34" s="343">
        <f>SUM(CT34:CV34)</f>
        <v>4969.8</v>
      </c>
      <c r="CM34" s="343">
        <f>SUM(CW34:CY34)</f>
        <v>8468.5</v>
      </c>
      <c r="CN34" s="333">
        <v>3407.2</v>
      </c>
      <c r="CO34" s="333">
        <v>3235.4</v>
      </c>
      <c r="CP34" s="333">
        <v>2645.9</v>
      </c>
      <c r="CQ34" s="333">
        <v>2016</v>
      </c>
      <c r="CR34" s="332">
        <v>1762.2</v>
      </c>
      <c r="CS34" s="332">
        <v>1654.5</v>
      </c>
      <c r="CT34" s="332">
        <v>1753.4</v>
      </c>
      <c r="CU34" s="332">
        <v>1653.1</v>
      </c>
      <c r="CV34" s="332">
        <v>1563.3</v>
      </c>
      <c r="CW34" s="332">
        <v>1884.5</v>
      </c>
      <c r="CX34" s="344">
        <v>2959.9</v>
      </c>
      <c r="CY34" s="344">
        <v>3624.1</v>
      </c>
      <c r="CZ34" s="192">
        <f t="shared" si="18"/>
        <v>28673.1</v>
      </c>
      <c r="DA34" s="343">
        <f t="shared" si="2"/>
        <v>9689.7</v>
      </c>
      <c r="DB34" s="343">
        <f t="shared" si="3"/>
        <v>4850.1</v>
      </c>
      <c r="DC34" s="343">
        <f t="shared" si="4"/>
        <v>4728.5</v>
      </c>
      <c r="DD34" s="343">
        <f t="shared" si="5"/>
        <v>9404.8</v>
      </c>
      <c r="DE34" s="333">
        <v>3689.9</v>
      </c>
      <c r="DF34" s="332">
        <v>3287.2</v>
      </c>
      <c r="DG34" s="333">
        <v>2712.6</v>
      </c>
      <c r="DH34" s="333">
        <v>1823</v>
      </c>
      <c r="DI34" s="332">
        <v>1504.3</v>
      </c>
      <c r="DJ34" s="332">
        <v>1522.8</v>
      </c>
      <c r="DK34" s="332">
        <v>1576.3</v>
      </c>
      <c r="DL34" s="332">
        <v>1572.4</v>
      </c>
      <c r="DM34" s="332">
        <v>1579.8</v>
      </c>
      <c r="DN34" s="332">
        <v>2283.6</v>
      </c>
      <c r="DO34" s="344">
        <v>3242.6</v>
      </c>
      <c r="DP34" s="344">
        <v>3878.6</v>
      </c>
      <c r="DQ34" s="344">
        <v>32381.9</v>
      </c>
      <c r="DR34" s="332">
        <f t="shared" si="19"/>
        <v>10611.9</v>
      </c>
      <c r="DS34" s="332">
        <f t="shared" si="20"/>
        <v>5913.1</v>
      </c>
      <c r="DT34" s="332">
        <f t="shared" si="21"/>
        <v>5254.1</v>
      </c>
      <c r="DU34" s="332">
        <f t="shared" si="22"/>
        <v>10048</v>
      </c>
      <c r="DV34" s="349">
        <v>4091.3</v>
      </c>
      <c r="DW34" s="332">
        <v>3373.7</v>
      </c>
      <c r="DX34" s="332">
        <v>3146.9</v>
      </c>
      <c r="DY34" s="343">
        <v>2400.3</v>
      </c>
      <c r="DZ34" s="343">
        <v>1828.8</v>
      </c>
      <c r="EA34" s="343">
        <v>1684</v>
      </c>
      <c r="EB34" s="343">
        <v>1782.2</v>
      </c>
      <c r="EC34" s="343">
        <v>1835.3</v>
      </c>
      <c r="ED34" s="343">
        <v>1636.6</v>
      </c>
      <c r="EE34" s="343">
        <v>2550.4</v>
      </c>
      <c r="EF34" s="343">
        <v>3522.8</v>
      </c>
      <c r="EG34" s="343">
        <v>3974.8</v>
      </c>
      <c r="EH34" s="343">
        <v>3707.6</v>
      </c>
      <c r="EI34" s="343">
        <v>3605.9</v>
      </c>
      <c r="EJ34" s="368">
        <v>3344</v>
      </c>
      <c r="EK34" s="343">
        <v>2414.3</v>
      </c>
      <c r="EL34" s="343">
        <v>2041.4</v>
      </c>
    </row>
    <row r="35" spans="1:142" ht="12.75">
      <c r="A35" s="275" t="s">
        <v>134</v>
      </c>
      <c r="B35" s="294">
        <f>SUM(G35:R35)</f>
        <v>3122.9</v>
      </c>
      <c r="C35" s="134">
        <f>G35+H35+I35</f>
        <v>1369.1</v>
      </c>
      <c r="D35" s="134">
        <f t="shared" si="23"/>
        <v>639.6</v>
      </c>
      <c r="E35" s="134">
        <f t="shared" si="24"/>
        <v>422</v>
      </c>
      <c r="F35" s="134">
        <f t="shared" si="25"/>
        <v>692.2</v>
      </c>
      <c r="G35" s="99">
        <v>468.9</v>
      </c>
      <c r="H35" s="98">
        <v>471.3</v>
      </c>
      <c r="I35" s="99">
        <v>428.9</v>
      </c>
      <c r="J35" s="134">
        <v>362.8</v>
      </c>
      <c r="K35" s="134">
        <v>140.1</v>
      </c>
      <c r="L35" s="134">
        <v>136.7</v>
      </c>
      <c r="M35" s="134">
        <v>136</v>
      </c>
      <c r="N35" s="134">
        <v>139.5</v>
      </c>
      <c r="O35" s="99">
        <v>146.5</v>
      </c>
      <c r="P35" s="134">
        <v>148.3</v>
      </c>
      <c r="Q35" s="98">
        <v>176.9</v>
      </c>
      <c r="R35" s="134">
        <v>367</v>
      </c>
      <c r="S35" s="299">
        <v>3228.4</v>
      </c>
      <c r="T35" s="134">
        <f t="shared" si="6"/>
        <v>1397.2</v>
      </c>
      <c r="U35" s="134">
        <f t="shared" si="7"/>
        <v>726.8</v>
      </c>
      <c r="V35" s="134">
        <f t="shared" si="8"/>
        <v>341.1</v>
      </c>
      <c r="W35" s="134">
        <f t="shared" si="9"/>
        <v>763.3</v>
      </c>
      <c r="X35" s="99">
        <v>532.4</v>
      </c>
      <c r="Y35" s="98">
        <v>449.5</v>
      </c>
      <c r="Z35" s="99">
        <v>415.3</v>
      </c>
      <c r="AA35" s="134">
        <v>365.7</v>
      </c>
      <c r="AB35" s="134">
        <v>234</v>
      </c>
      <c r="AC35" s="134">
        <v>127.1</v>
      </c>
      <c r="AD35" s="134">
        <v>127.4</v>
      </c>
      <c r="AE35" s="134">
        <v>114.9</v>
      </c>
      <c r="AF35" s="99">
        <v>98.8</v>
      </c>
      <c r="AG35" s="134">
        <v>148.3</v>
      </c>
      <c r="AH35" s="98">
        <v>201.1</v>
      </c>
      <c r="AI35" s="278">
        <v>413.9</v>
      </c>
      <c r="AJ35" s="134">
        <f t="shared" si="10"/>
        <v>3615.4</v>
      </c>
      <c r="AK35" s="134">
        <f t="shared" si="11"/>
        <v>1794.7</v>
      </c>
      <c r="AL35" s="134">
        <f t="shared" si="12"/>
        <v>597.8</v>
      </c>
      <c r="AM35" s="134">
        <f t="shared" si="26"/>
        <v>450.1</v>
      </c>
      <c r="AN35" s="134">
        <f t="shared" si="1"/>
        <v>772.8</v>
      </c>
      <c r="AO35" s="278">
        <v>525.3</v>
      </c>
      <c r="AP35" s="278">
        <v>673</v>
      </c>
      <c r="AQ35" s="278">
        <v>596.4</v>
      </c>
      <c r="AR35" s="278">
        <v>259.4</v>
      </c>
      <c r="AS35" s="278">
        <v>177.9</v>
      </c>
      <c r="AT35" s="278">
        <v>160.5</v>
      </c>
      <c r="AU35" s="278">
        <v>154.2</v>
      </c>
      <c r="AV35" s="278">
        <v>149.6</v>
      </c>
      <c r="AW35" s="278">
        <v>146.3</v>
      </c>
      <c r="AX35" s="278">
        <v>135.5</v>
      </c>
      <c r="AY35" s="278">
        <v>229.7</v>
      </c>
      <c r="AZ35" s="278">
        <v>407.6</v>
      </c>
      <c r="BA35" s="192">
        <f t="shared" si="27"/>
        <v>3694.9</v>
      </c>
      <c r="BB35" s="192">
        <f t="shared" si="13"/>
        <v>1611.4</v>
      </c>
      <c r="BC35" s="192">
        <f t="shared" si="14"/>
        <v>780</v>
      </c>
      <c r="BD35" s="192">
        <f t="shared" si="15"/>
        <v>447.5</v>
      </c>
      <c r="BE35" s="192">
        <f t="shared" si="16"/>
        <v>856</v>
      </c>
      <c r="BF35" s="278">
        <v>533.8</v>
      </c>
      <c r="BG35" s="318">
        <v>611.7</v>
      </c>
      <c r="BH35" s="278">
        <v>465.9</v>
      </c>
      <c r="BI35" s="318">
        <v>429.8</v>
      </c>
      <c r="BJ35" s="318">
        <v>205.7</v>
      </c>
      <c r="BK35" s="318">
        <v>144.5</v>
      </c>
      <c r="BL35" s="318">
        <v>141.2</v>
      </c>
      <c r="BM35" s="318">
        <v>150.4</v>
      </c>
      <c r="BN35" s="318">
        <v>155.9</v>
      </c>
      <c r="BO35" s="318">
        <v>159.4</v>
      </c>
      <c r="BP35" s="318">
        <v>240.9</v>
      </c>
      <c r="BQ35" s="278">
        <v>455.7</v>
      </c>
      <c r="BR35" s="192">
        <f>SUM(BS35:BV35)</f>
        <v>5033.9</v>
      </c>
      <c r="BS35" s="192">
        <f>SUM(BW35:BY35)</f>
        <v>1535.5</v>
      </c>
      <c r="BT35" s="192">
        <f>SUM(BZ35:CB35)</f>
        <v>781</v>
      </c>
      <c r="BU35" s="192">
        <f>SUM(CC35:CE35)</f>
        <v>987.6</v>
      </c>
      <c r="BV35" s="192">
        <f>SUM(CF35:CH35)</f>
        <v>1729.8</v>
      </c>
      <c r="BW35" s="278">
        <v>624.3</v>
      </c>
      <c r="BX35" s="278">
        <v>535.6</v>
      </c>
      <c r="BY35" s="278">
        <v>375.6</v>
      </c>
      <c r="BZ35" s="278">
        <v>251</v>
      </c>
      <c r="CA35" s="278">
        <v>278.4</v>
      </c>
      <c r="CB35" s="278">
        <v>251.6</v>
      </c>
      <c r="CC35" s="278">
        <v>262</v>
      </c>
      <c r="CD35" s="278">
        <v>340.4</v>
      </c>
      <c r="CE35" s="278">
        <v>385.2</v>
      </c>
      <c r="CF35" s="278">
        <v>441.5</v>
      </c>
      <c r="CG35" s="278">
        <v>566.8</v>
      </c>
      <c r="CH35" s="278">
        <v>721.5</v>
      </c>
      <c r="CI35" s="192">
        <v>5263.8</v>
      </c>
      <c r="CJ35" s="343">
        <f>SUM(CN35:CP35)</f>
        <v>1518.5</v>
      </c>
      <c r="CK35" s="343">
        <f>SUM(CQ35:CS35)</f>
        <v>876.2</v>
      </c>
      <c r="CL35" s="343">
        <f>SUM(CT35:CV35)</f>
        <v>879.6</v>
      </c>
      <c r="CM35" s="343">
        <f>SUM(CW35:CY35)</f>
        <v>1989.7</v>
      </c>
      <c r="CN35" s="333">
        <v>582.5</v>
      </c>
      <c r="CO35" s="333">
        <v>521.9</v>
      </c>
      <c r="CP35" s="333">
        <v>414.1</v>
      </c>
      <c r="CQ35" s="333">
        <v>294</v>
      </c>
      <c r="CR35" s="332">
        <v>288.6</v>
      </c>
      <c r="CS35" s="332">
        <v>293.6</v>
      </c>
      <c r="CT35" s="332">
        <v>290</v>
      </c>
      <c r="CU35" s="332">
        <v>266</v>
      </c>
      <c r="CV35" s="332">
        <v>323.6</v>
      </c>
      <c r="CW35" s="332">
        <v>448.3</v>
      </c>
      <c r="CX35" s="344">
        <v>671.5</v>
      </c>
      <c r="CY35" s="344">
        <v>869.9</v>
      </c>
      <c r="CZ35" s="192">
        <f t="shared" si="18"/>
        <v>5219.4</v>
      </c>
      <c r="DA35" s="343">
        <f t="shared" si="2"/>
        <v>1628.7</v>
      </c>
      <c r="DB35" s="343">
        <f t="shared" si="3"/>
        <v>878.5</v>
      </c>
      <c r="DC35" s="343">
        <f t="shared" si="4"/>
        <v>952</v>
      </c>
      <c r="DD35" s="343">
        <f t="shared" si="5"/>
        <v>1760.2</v>
      </c>
      <c r="DE35" s="333">
        <v>641.9</v>
      </c>
      <c r="DF35" s="332">
        <v>536.9</v>
      </c>
      <c r="DG35" s="333">
        <v>449.9</v>
      </c>
      <c r="DH35" s="333">
        <v>294.6</v>
      </c>
      <c r="DI35" s="332">
        <v>287</v>
      </c>
      <c r="DJ35" s="332">
        <v>296.9</v>
      </c>
      <c r="DK35" s="332">
        <v>287.2</v>
      </c>
      <c r="DL35" s="332">
        <v>294</v>
      </c>
      <c r="DM35" s="332">
        <v>370.8</v>
      </c>
      <c r="DN35" s="332">
        <v>373.7</v>
      </c>
      <c r="DO35" s="344">
        <v>661.5</v>
      </c>
      <c r="DP35" s="344">
        <v>725</v>
      </c>
      <c r="DQ35" s="344">
        <v>5457.8</v>
      </c>
      <c r="DR35" s="332">
        <f t="shared" si="19"/>
        <v>1755.5</v>
      </c>
      <c r="DS35" s="332">
        <f t="shared" si="20"/>
        <v>950.1</v>
      </c>
      <c r="DT35" s="332">
        <f t="shared" si="21"/>
        <v>935.3</v>
      </c>
      <c r="DU35" s="332">
        <f t="shared" si="22"/>
        <v>1837.5</v>
      </c>
      <c r="DV35" s="349">
        <v>713.7</v>
      </c>
      <c r="DW35" s="332">
        <v>607.8</v>
      </c>
      <c r="DX35" s="332">
        <v>434</v>
      </c>
      <c r="DY35" s="343">
        <v>341</v>
      </c>
      <c r="DZ35" s="343">
        <v>302.3</v>
      </c>
      <c r="EA35" s="343">
        <v>306.8</v>
      </c>
      <c r="EB35" s="343">
        <v>306.8</v>
      </c>
      <c r="EC35" s="343">
        <v>295.1</v>
      </c>
      <c r="ED35" s="343">
        <v>333.4</v>
      </c>
      <c r="EE35" s="343">
        <v>413.1</v>
      </c>
      <c r="EF35" s="343">
        <v>635.7</v>
      </c>
      <c r="EG35" s="343">
        <v>788.7</v>
      </c>
      <c r="EH35" s="343">
        <v>841.3</v>
      </c>
      <c r="EI35" s="343">
        <v>694.6</v>
      </c>
      <c r="EJ35" s="368">
        <v>630.9</v>
      </c>
      <c r="EK35" s="343">
        <v>388.8</v>
      </c>
      <c r="EL35" s="343">
        <v>325.2</v>
      </c>
    </row>
    <row r="36" spans="1:142" ht="12.75">
      <c r="A36" s="275" t="s">
        <v>126</v>
      </c>
      <c r="B36" s="294">
        <f>SUM(G36:R36)</f>
        <v>2995</v>
      </c>
      <c r="C36" s="134">
        <f>G36+H36+I36</f>
        <v>1417.3</v>
      </c>
      <c r="D36" s="134">
        <f t="shared" si="23"/>
        <v>131.1</v>
      </c>
      <c r="E36" s="134">
        <f t="shared" si="24"/>
        <v>175.2</v>
      </c>
      <c r="F36" s="134">
        <f t="shared" si="25"/>
        <v>1271.4</v>
      </c>
      <c r="G36" s="99">
        <v>517.6</v>
      </c>
      <c r="H36" s="98">
        <v>545.8</v>
      </c>
      <c r="I36" s="99">
        <v>353.9</v>
      </c>
      <c r="J36" s="134">
        <v>61.9</v>
      </c>
      <c r="K36" s="134">
        <v>43.3</v>
      </c>
      <c r="L36" s="134">
        <v>25.9</v>
      </c>
      <c r="M36" s="134">
        <v>56.3</v>
      </c>
      <c r="N36" s="134">
        <v>58.7</v>
      </c>
      <c r="O36" s="99">
        <v>60.2</v>
      </c>
      <c r="P36" s="134">
        <v>91.2</v>
      </c>
      <c r="Q36" s="98">
        <v>552</v>
      </c>
      <c r="R36" s="134">
        <v>628.2</v>
      </c>
      <c r="S36" s="299">
        <v>3342.8</v>
      </c>
      <c r="T36" s="134">
        <f t="shared" si="6"/>
        <v>1688.9</v>
      </c>
      <c r="U36" s="134">
        <f t="shared" si="7"/>
        <v>224.6</v>
      </c>
      <c r="V36" s="134">
        <f t="shared" si="8"/>
        <v>218.2</v>
      </c>
      <c r="W36" s="134">
        <f t="shared" si="9"/>
        <v>1211.1</v>
      </c>
      <c r="X36" s="99">
        <v>679.8</v>
      </c>
      <c r="Y36" s="98">
        <v>547.6</v>
      </c>
      <c r="Z36" s="99">
        <v>461.5</v>
      </c>
      <c r="AA36" s="134">
        <v>128.5</v>
      </c>
      <c r="AB36" s="134">
        <v>42.5</v>
      </c>
      <c r="AC36" s="134">
        <v>53.6</v>
      </c>
      <c r="AD36" s="134">
        <v>70.9</v>
      </c>
      <c r="AE36" s="134">
        <v>72.6</v>
      </c>
      <c r="AF36" s="98">
        <v>74.7</v>
      </c>
      <c r="AG36" s="134">
        <v>114.7</v>
      </c>
      <c r="AH36" s="98">
        <v>433.3</v>
      </c>
      <c r="AI36" s="278">
        <v>663.1</v>
      </c>
      <c r="AJ36" s="134">
        <f t="shared" si="10"/>
        <v>3590.6</v>
      </c>
      <c r="AK36" s="134">
        <f t="shared" si="11"/>
        <v>1796.2</v>
      </c>
      <c r="AL36" s="134">
        <f t="shared" si="12"/>
        <v>164</v>
      </c>
      <c r="AM36" s="134">
        <f t="shared" si="26"/>
        <v>194.5</v>
      </c>
      <c r="AN36" s="134">
        <f t="shared" si="1"/>
        <v>1435.9</v>
      </c>
      <c r="AO36" s="278">
        <v>807.6</v>
      </c>
      <c r="AP36" s="278">
        <v>638.7</v>
      </c>
      <c r="AQ36" s="278">
        <v>349.9</v>
      </c>
      <c r="AR36" s="278">
        <v>76.4</v>
      </c>
      <c r="AS36" s="278">
        <v>42</v>
      </c>
      <c r="AT36" s="278">
        <v>45.6</v>
      </c>
      <c r="AU36" s="278">
        <v>63.2</v>
      </c>
      <c r="AV36" s="278">
        <v>64.8</v>
      </c>
      <c r="AW36" s="278">
        <v>66.5</v>
      </c>
      <c r="AX36" s="278">
        <v>176</v>
      </c>
      <c r="AY36" s="278">
        <v>613.5</v>
      </c>
      <c r="AZ36" s="278">
        <v>646.4</v>
      </c>
      <c r="BA36" s="192">
        <f t="shared" si="27"/>
        <v>3681</v>
      </c>
      <c r="BB36" s="192">
        <f t="shared" si="13"/>
        <v>1932.7</v>
      </c>
      <c r="BC36" s="192">
        <f t="shared" si="14"/>
        <v>250.4</v>
      </c>
      <c r="BD36" s="192">
        <f t="shared" si="15"/>
        <v>194.4</v>
      </c>
      <c r="BE36" s="192">
        <f t="shared" si="16"/>
        <v>1303.5</v>
      </c>
      <c r="BF36" s="278">
        <v>727.1</v>
      </c>
      <c r="BG36" s="318">
        <v>653.7</v>
      </c>
      <c r="BH36" s="278">
        <v>551.9</v>
      </c>
      <c r="BI36" s="318">
        <v>155.2</v>
      </c>
      <c r="BJ36" s="318">
        <v>61.3</v>
      </c>
      <c r="BK36" s="318">
        <v>33.9</v>
      </c>
      <c r="BL36" s="318">
        <v>62.9</v>
      </c>
      <c r="BM36" s="318">
        <v>64.2</v>
      </c>
      <c r="BN36" s="318">
        <v>67.3</v>
      </c>
      <c r="BO36" s="318">
        <v>148.3</v>
      </c>
      <c r="BP36" s="318">
        <v>435.3</v>
      </c>
      <c r="BQ36" s="278">
        <v>719.9</v>
      </c>
      <c r="BR36" s="192">
        <f>SUM(BS36:BV36)</f>
        <v>3668.2</v>
      </c>
      <c r="BS36" s="192">
        <f>SUM(BW36:BY36)</f>
        <v>1826.8</v>
      </c>
      <c r="BT36" s="192">
        <f>SUM(BZ36:CB36)</f>
        <v>161.6</v>
      </c>
      <c r="BU36" s="192">
        <f>SUM(CC36:CE36)</f>
        <v>194.6</v>
      </c>
      <c r="BV36" s="192">
        <f>SUM(CF36:CH36)</f>
        <v>1485.2</v>
      </c>
      <c r="BW36" s="278">
        <v>790.9</v>
      </c>
      <c r="BX36" s="278">
        <v>661.9</v>
      </c>
      <c r="BY36" s="278">
        <v>374</v>
      </c>
      <c r="BZ36" s="278">
        <v>76.3</v>
      </c>
      <c r="CA36" s="278">
        <v>59.8</v>
      </c>
      <c r="CB36" s="278">
        <v>25.5</v>
      </c>
      <c r="CC36" s="278">
        <v>63.6</v>
      </c>
      <c r="CD36" s="278">
        <v>64.8</v>
      </c>
      <c r="CE36" s="278">
        <v>66.2</v>
      </c>
      <c r="CF36" s="278">
        <v>135.2</v>
      </c>
      <c r="CG36" s="278">
        <v>626.1</v>
      </c>
      <c r="CH36" s="278">
        <v>723.9</v>
      </c>
      <c r="CI36" s="192">
        <v>3358</v>
      </c>
      <c r="CJ36" s="343">
        <f>SUM(CN36:CP36)</f>
        <v>1692.9</v>
      </c>
      <c r="CK36" s="343">
        <f>SUM(CQ36:CS36)</f>
        <v>153.4</v>
      </c>
      <c r="CL36" s="343">
        <f>SUM(CT36:CV36)</f>
        <v>192.1</v>
      </c>
      <c r="CM36" s="343">
        <f>SUM(CW36:CY36)</f>
        <v>1319.4</v>
      </c>
      <c r="CN36" s="333">
        <v>725.9</v>
      </c>
      <c r="CO36" s="333">
        <v>628.3</v>
      </c>
      <c r="CP36" s="333">
        <v>338.7</v>
      </c>
      <c r="CQ36" s="333">
        <v>73.1</v>
      </c>
      <c r="CR36" s="332">
        <v>26.4</v>
      </c>
      <c r="CS36" s="332">
        <v>53.9</v>
      </c>
      <c r="CT36" s="332">
        <v>62.5</v>
      </c>
      <c r="CU36" s="332">
        <v>63</v>
      </c>
      <c r="CV36" s="332">
        <v>66.6</v>
      </c>
      <c r="CW36" s="332">
        <v>73</v>
      </c>
      <c r="CX36" s="344">
        <v>557.4</v>
      </c>
      <c r="CY36" s="344">
        <v>689</v>
      </c>
      <c r="CZ36" s="192">
        <f t="shared" si="18"/>
        <v>3651.3</v>
      </c>
      <c r="DA36" s="343">
        <f t="shared" si="2"/>
        <v>1699.8</v>
      </c>
      <c r="DB36" s="343">
        <f t="shared" si="3"/>
        <v>147.9</v>
      </c>
      <c r="DC36" s="343">
        <f t="shared" si="4"/>
        <v>164.7</v>
      </c>
      <c r="DD36" s="343">
        <f t="shared" si="5"/>
        <v>1638.9</v>
      </c>
      <c r="DE36" s="333">
        <v>748.2</v>
      </c>
      <c r="DF36" s="332">
        <v>577.4</v>
      </c>
      <c r="DG36" s="333">
        <v>374.2</v>
      </c>
      <c r="DH36" s="333">
        <v>71.8</v>
      </c>
      <c r="DI36" s="332">
        <v>60.7</v>
      </c>
      <c r="DJ36" s="332">
        <v>15.4</v>
      </c>
      <c r="DK36" s="332">
        <v>50.9</v>
      </c>
      <c r="DL36" s="332">
        <v>55.2</v>
      </c>
      <c r="DM36" s="332">
        <v>58.6</v>
      </c>
      <c r="DN36" s="332">
        <v>194.8</v>
      </c>
      <c r="DO36" s="344">
        <v>606.3</v>
      </c>
      <c r="DP36" s="344">
        <v>837.8</v>
      </c>
      <c r="DQ36" s="344">
        <v>3677.3</v>
      </c>
      <c r="DR36" s="332">
        <f t="shared" si="19"/>
        <v>1777.6</v>
      </c>
      <c r="DS36" s="332">
        <f t="shared" si="20"/>
        <v>211.8</v>
      </c>
      <c r="DT36" s="332">
        <f t="shared" si="21"/>
        <v>168.6</v>
      </c>
      <c r="DU36" s="332">
        <f t="shared" si="22"/>
        <v>1406.4</v>
      </c>
      <c r="DV36" s="349">
        <v>789.4</v>
      </c>
      <c r="DW36" s="332">
        <v>545.8</v>
      </c>
      <c r="DX36" s="332">
        <v>442.4</v>
      </c>
      <c r="DY36" s="343">
        <v>135.8</v>
      </c>
      <c r="DZ36" s="343">
        <v>47.4</v>
      </c>
      <c r="EA36" s="343">
        <v>28.6</v>
      </c>
      <c r="EB36" s="343">
        <v>52.9</v>
      </c>
      <c r="EC36" s="343">
        <v>56.2</v>
      </c>
      <c r="ED36" s="343">
        <v>59.5</v>
      </c>
      <c r="EE36" s="343">
        <v>202.5</v>
      </c>
      <c r="EF36" s="343">
        <v>601</v>
      </c>
      <c r="EG36" s="343">
        <v>602.9</v>
      </c>
      <c r="EH36" s="343">
        <v>677.7</v>
      </c>
      <c r="EI36" s="343">
        <v>603.6</v>
      </c>
      <c r="EJ36" s="368">
        <v>500</v>
      </c>
      <c r="EK36" s="343">
        <v>96.2</v>
      </c>
      <c r="EL36" s="343">
        <v>50.4</v>
      </c>
    </row>
    <row r="37" spans="1:142" ht="12.75">
      <c r="A37"/>
      <c r="B37" s="160"/>
      <c r="C37" s="12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305"/>
      <c r="S37" s="287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CI37" s="283"/>
      <c r="CT37" s="341"/>
      <c r="CU37" s="341"/>
      <c r="CV37" s="341"/>
      <c r="CW37" s="341"/>
      <c r="CX37" s="345"/>
      <c r="CY37" s="345"/>
      <c r="CZ37" s="257"/>
      <c r="DA37" s="343">
        <f t="shared" si="2"/>
        <v>0</v>
      </c>
      <c r="DB37" s="342">
        <f t="shared" si="3"/>
        <v>0</v>
      </c>
      <c r="DC37" s="342">
        <f t="shared" si="4"/>
        <v>0</v>
      </c>
      <c r="DD37" s="342">
        <f t="shared" si="5"/>
        <v>0</v>
      </c>
      <c r="DQ37" s="344"/>
      <c r="DR37" s="332"/>
      <c r="DS37" s="332"/>
      <c r="DT37" s="332"/>
      <c r="DU37" s="332"/>
      <c r="DV37" s="365"/>
      <c r="DW37" s="343"/>
      <c r="DZ37" s="343"/>
      <c r="EA37" s="343"/>
      <c r="EB37" s="343"/>
      <c r="EC37" s="343"/>
      <c r="ED37" s="343"/>
      <c r="EE37" s="343"/>
      <c r="EG37" s="343"/>
      <c r="EH37" s="343"/>
      <c r="EI37" s="343"/>
      <c r="EJ37" s="368"/>
      <c r="EK37" s="343"/>
      <c r="EL37" s="343"/>
    </row>
    <row r="38" spans="1:142" s="322" customFormat="1" ht="12.75">
      <c r="A38" s="274" t="s">
        <v>127</v>
      </c>
      <c r="B38" s="294">
        <f>SUM(G38:R38)</f>
        <v>1554.1</v>
      </c>
      <c r="C38" s="123">
        <f>G38+H38+I38</f>
        <v>358</v>
      </c>
      <c r="D38" s="123">
        <f t="shared" si="23"/>
        <v>345.9</v>
      </c>
      <c r="E38" s="123">
        <f t="shared" si="24"/>
        <v>384</v>
      </c>
      <c r="F38" s="123">
        <f t="shared" si="25"/>
        <v>466.2</v>
      </c>
      <c r="G38" s="90">
        <v>126.1</v>
      </c>
      <c r="H38" s="90">
        <v>111.4</v>
      </c>
      <c r="I38" s="90">
        <v>120.5</v>
      </c>
      <c r="J38" s="123">
        <v>114.5</v>
      </c>
      <c r="K38" s="123">
        <v>112.1</v>
      </c>
      <c r="L38" s="123">
        <v>119.3</v>
      </c>
      <c r="M38" s="123">
        <v>131</v>
      </c>
      <c r="N38" s="123">
        <v>128</v>
      </c>
      <c r="O38" s="91">
        <v>125</v>
      </c>
      <c r="P38" s="123">
        <v>123.6</v>
      </c>
      <c r="Q38" s="90">
        <v>128.7</v>
      </c>
      <c r="R38" s="125">
        <v>213.9</v>
      </c>
      <c r="S38" s="302">
        <v>1652.3</v>
      </c>
      <c r="T38" s="123">
        <f t="shared" si="6"/>
        <v>403.2</v>
      </c>
      <c r="U38" s="123">
        <f t="shared" si="7"/>
        <v>399.8</v>
      </c>
      <c r="V38" s="123">
        <f t="shared" si="8"/>
        <v>427.1</v>
      </c>
      <c r="W38" s="125">
        <f t="shared" si="9"/>
        <v>422.1</v>
      </c>
      <c r="X38" s="90">
        <v>134.3</v>
      </c>
      <c r="Y38" s="90">
        <v>129.8</v>
      </c>
      <c r="Z38" s="90">
        <v>139.1</v>
      </c>
      <c r="AA38" s="90">
        <v>135.7</v>
      </c>
      <c r="AB38" s="90">
        <v>126</v>
      </c>
      <c r="AC38" s="90">
        <v>138.1</v>
      </c>
      <c r="AD38" s="90">
        <v>142.9</v>
      </c>
      <c r="AE38" s="90">
        <v>139.3</v>
      </c>
      <c r="AF38" s="90">
        <v>144.9</v>
      </c>
      <c r="AG38" s="90">
        <v>141</v>
      </c>
      <c r="AH38" s="90">
        <v>139.7</v>
      </c>
      <c r="AI38" s="90">
        <v>141.4</v>
      </c>
      <c r="AJ38" s="125">
        <f t="shared" si="10"/>
        <v>1729.3</v>
      </c>
      <c r="AK38" s="123">
        <f t="shared" si="11"/>
        <v>407.6</v>
      </c>
      <c r="AL38" s="123">
        <f t="shared" si="12"/>
        <v>424.5</v>
      </c>
      <c r="AM38" s="123">
        <f t="shared" si="26"/>
        <v>433.5</v>
      </c>
      <c r="AN38" s="123">
        <f t="shared" si="1"/>
        <v>463.7</v>
      </c>
      <c r="AO38" s="123">
        <v>133.3</v>
      </c>
      <c r="AP38" s="123">
        <v>131.4</v>
      </c>
      <c r="AQ38" s="123">
        <v>142.9</v>
      </c>
      <c r="AR38" s="123">
        <v>140.3</v>
      </c>
      <c r="AS38" s="123">
        <v>134.8</v>
      </c>
      <c r="AT38" s="123">
        <v>149.4</v>
      </c>
      <c r="AU38" s="123">
        <v>144.6</v>
      </c>
      <c r="AV38" s="123">
        <v>147.8</v>
      </c>
      <c r="AW38" s="123">
        <v>141.1</v>
      </c>
      <c r="AX38" s="123">
        <v>140.7</v>
      </c>
      <c r="AY38" s="123">
        <v>153.7</v>
      </c>
      <c r="AZ38" s="123">
        <v>169.3</v>
      </c>
      <c r="BA38" s="257">
        <f t="shared" si="27"/>
        <v>1843.5</v>
      </c>
      <c r="BB38" s="257">
        <f t="shared" si="13"/>
        <v>440.9</v>
      </c>
      <c r="BC38" s="257">
        <f t="shared" si="14"/>
        <v>439.5</v>
      </c>
      <c r="BD38" s="257">
        <f t="shared" si="15"/>
        <v>473.7</v>
      </c>
      <c r="BE38" s="257">
        <f t="shared" si="16"/>
        <v>489.4</v>
      </c>
      <c r="BF38" s="123">
        <v>143</v>
      </c>
      <c r="BG38" s="131">
        <f>SUM(BG39:BG42)</f>
        <v>144</v>
      </c>
      <c r="BH38" s="321">
        <v>153.9</v>
      </c>
      <c r="BI38" s="321">
        <v>147.5</v>
      </c>
      <c r="BJ38" s="321">
        <v>144.8</v>
      </c>
      <c r="BK38" s="321">
        <v>147.2</v>
      </c>
      <c r="BL38" s="321">
        <v>155.4</v>
      </c>
      <c r="BM38" s="321">
        <v>159</v>
      </c>
      <c r="BN38" s="321">
        <v>159.3</v>
      </c>
      <c r="BO38" s="321">
        <v>153.9</v>
      </c>
      <c r="BP38" s="321">
        <v>163.3</v>
      </c>
      <c r="BQ38" s="123">
        <v>172.2</v>
      </c>
      <c r="BR38" s="257">
        <f>SUM(BS38:BV38)</f>
        <v>2688.7</v>
      </c>
      <c r="BS38" s="257">
        <f>SUM(BW38:BY38)</f>
        <v>592.1</v>
      </c>
      <c r="BT38" s="257">
        <f>SUM(BZ38:CB38)</f>
        <v>666.2</v>
      </c>
      <c r="BU38" s="257">
        <f>SUM(CC38:CE38)</f>
        <v>712.9</v>
      </c>
      <c r="BV38" s="257">
        <f>SUM(CF38:CH38)</f>
        <v>717.5</v>
      </c>
      <c r="BW38" s="123">
        <v>175.2</v>
      </c>
      <c r="BX38" s="123">
        <v>193.5</v>
      </c>
      <c r="BY38" s="123">
        <v>223.4</v>
      </c>
      <c r="BZ38" s="123">
        <v>228.2</v>
      </c>
      <c r="CA38" s="123">
        <v>213</v>
      </c>
      <c r="CB38" s="123">
        <v>225</v>
      </c>
      <c r="CC38" s="123">
        <v>249.8</v>
      </c>
      <c r="CD38" s="123">
        <v>243.2</v>
      </c>
      <c r="CE38" s="123">
        <v>219.9</v>
      </c>
      <c r="CF38" s="123">
        <v>219.9</v>
      </c>
      <c r="CG38" s="123">
        <v>230.1</v>
      </c>
      <c r="CH38" s="123">
        <v>267.5</v>
      </c>
      <c r="CI38" s="257">
        <v>2726.6</v>
      </c>
      <c r="CJ38" s="342">
        <f>SUM(CN38:CP38)</f>
        <v>667.6</v>
      </c>
      <c r="CK38" s="342">
        <f>SUM(CQ38:CS38)</f>
        <v>684.6</v>
      </c>
      <c r="CL38" s="342">
        <f>SUM(CT38:CV38)</f>
        <v>690.9</v>
      </c>
      <c r="CM38" s="342">
        <f>SUM(CW38:CY38)</f>
        <v>683.6</v>
      </c>
      <c r="CN38" s="326">
        <v>216.2</v>
      </c>
      <c r="CO38" s="326">
        <v>217</v>
      </c>
      <c r="CP38" s="326">
        <v>234.4</v>
      </c>
      <c r="CQ38" s="327">
        <v>239.8</v>
      </c>
      <c r="CR38" s="327">
        <v>215</v>
      </c>
      <c r="CS38" s="327">
        <v>229.8</v>
      </c>
      <c r="CT38" s="326">
        <v>236.8</v>
      </c>
      <c r="CU38" s="326">
        <v>225.8</v>
      </c>
      <c r="CV38" s="326">
        <v>228.3</v>
      </c>
      <c r="CW38" s="326">
        <v>212.5</v>
      </c>
      <c r="CX38" s="326">
        <v>224.9</v>
      </c>
      <c r="CY38" s="326">
        <v>246.2</v>
      </c>
      <c r="CZ38" s="257">
        <f t="shared" si="18"/>
        <v>2974.4</v>
      </c>
      <c r="DA38" s="342">
        <f t="shared" si="2"/>
        <v>709.3</v>
      </c>
      <c r="DB38" s="342">
        <f t="shared" si="3"/>
        <v>590.6</v>
      </c>
      <c r="DC38" s="342">
        <f t="shared" si="4"/>
        <v>788.5</v>
      </c>
      <c r="DD38" s="342">
        <f t="shared" si="5"/>
        <v>886</v>
      </c>
      <c r="DE38" s="348">
        <v>226</v>
      </c>
      <c r="DF38" s="326">
        <v>261.8</v>
      </c>
      <c r="DG38" s="326">
        <v>221.5</v>
      </c>
      <c r="DH38" s="327">
        <v>162.3</v>
      </c>
      <c r="DI38" s="327">
        <v>205.2</v>
      </c>
      <c r="DJ38" s="327">
        <v>223.1</v>
      </c>
      <c r="DK38" s="326">
        <v>244.7</v>
      </c>
      <c r="DL38" s="326">
        <v>257.9</v>
      </c>
      <c r="DM38" s="326">
        <v>285.9</v>
      </c>
      <c r="DN38" s="326">
        <v>261.7</v>
      </c>
      <c r="DO38" s="326">
        <v>282.7</v>
      </c>
      <c r="DP38" s="326">
        <v>341.6</v>
      </c>
      <c r="DQ38" s="356">
        <v>4096.2</v>
      </c>
      <c r="DR38" s="327">
        <f t="shared" si="19"/>
        <v>993.1</v>
      </c>
      <c r="DS38" s="327">
        <f t="shared" si="20"/>
        <v>1039.2</v>
      </c>
      <c r="DT38" s="327">
        <f t="shared" si="21"/>
        <v>1009.3</v>
      </c>
      <c r="DU38" s="327">
        <f t="shared" si="22"/>
        <v>998.6</v>
      </c>
      <c r="DV38" s="361">
        <v>303.7</v>
      </c>
      <c r="DW38" s="342">
        <v>288.9</v>
      </c>
      <c r="DX38" s="342">
        <v>400.5</v>
      </c>
      <c r="DY38" s="342">
        <v>350.2</v>
      </c>
      <c r="DZ38" s="342">
        <v>348.3</v>
      </c>
      <c r="EA38" s="342">
        <v>340.7</v>
      </c>
      <c r="EB38" s="342">
        <v>337.2</v>
      </c>
      <c r="EC38" s="342">
        <v>332.6</v>
      </c>
      <c r="ED38" s="342">
        <v>339.5</v>
      </c>
      <c r="EE38" s="342">
        <v>323.4</v>
      </c>
      <c r="EF38" s="342">
        <v>298.4</v>
      </c>
      <c r="EG38" s="342">
        <v>376.8</v>
      </c>
      <c r="EH38" s="342">
        <v>300.3</v>
      </c>
      <c r="EI38" s="342">
        <v>296.7</v>
      </c>
      <c r="EJ38" s="367">
        <v>422</v>
      </c>
      <c r="EK38" s="342">
        <v>293.4</v>
      </c>
      <c r="EL38" s="342">
        <v>359.4</v>
      </c>
    </row>
    <row r="39" spans="1:142" ht="12.75">
      <c r="A39" s="275" t="s">
        <v>128</v>
      </c>
      <c r="B39" s="294">
        <f>SUM(G39:R39)</f>
        <v>1091.2</v>
      </c>
      <c r="C39" s="134">
        <f>G39+H39+I39</f>
        <v>265.8</v>
      </c>
      <c r="D39" s="134">
        <f t="shared" si="23"/>
        <v>245.3</v>
      </c>
      <c r="E39" s="134">
        <f t="shared" si="24"/>
        <v>274.4</v>
      </c>
      <c r="F39" s="134">
        <f t="shared" si="25"/>
        <v>305.7</v>
      </c>
      <c r="G39" s="3">
        <v>89.2</v>
      </c>
      <c r="H39" s="3">
        <v>87.6</v>
      </c>
      <c r="I39" s="43">
        <v>89</v>
      </c>
      <c r="J39" s="134">
        <v>83.5</v>
      </c>
      <c r="K39" s="134">
        <v>82.4</v>
      </c>
      <c r="L39" s="134">
        <v>79.4</v>
      </c>
      <c r="M39" s="134">
        <v>92.3</v>
      </c>
      <c r="N39" s="134">
        <v>88.4</v>
      </c>
      <c r="O39" s="3">
        <v>93.7</v>
      </c>
      <c r="P39" s="134">
        <v>91</v>
      </c>
      <c r="Q39" s="3">
        <v>93.4</v>
      </c>
      <c r="R39" s="134">
        <v>121.3</v>
      </c>
      <c r="S39" s="176">
        <v>1135</v>
      </c>
      <c r="T39" s="134">
        <f t="shared" si="6"/>
        <v>275.9</v>
      </c>
      <c r="U39" s="134">
        <f t="shared" si="7"/>
        <v>256.5</v>
      </c>
      <c r="V39" s="134">
        <f t="shared" si="8"/>
        <v>295.2</v>
      </c>
      <c r="W39" s="134">
        <f t="shared" si="9"/>
        <v>307.4</v>
      </c>
      <c r="X39" s="3">
        <v>93.8</v>
      </c>
      <c r="Y39" s="3">
        <v>89</v>
      </c>
      <c r="Z39" s="3">
        <v>93.1</v>
      </c>
      <c r="AA39" s="134">
        <v>87.8</v>
      </c>
      <c r="AB39" s="134">
        <v>80.7</v>
      </c>
      <c r="AC39" s="134">
        <v>88</v>
      </c>
      <c r="AD39" s="134">
        <v>96.5</v>
      </c>
      <c r="AE39" s="134">
        <v>97.8</v>
      </c>
      <c r="AF39" s="43">
        <v>100.9</v>
      </c>
      <c r="AG39" s="134">
        <v>98.7</v>
      </c>
      <c r="AH39" s="3">
        <v>103.2</v>
      </c>
      <c r="AI39" s="3">
        <v>105.5</v>
      </c>
      <c r="AJ39" s="134">
        <f t="shared" si="10"/>
        <v>1247.9</v>
      </c>
      <c r="AK39" s="134">
        <f t="shared" si="11"/>
        <v>304.3</v>
      </c>
      <c r="AL39" s="134">
        <f t="shared" si="12"/>
        <v>290.2</v>
      </c>
      <c r="AM39" s="134">
        <f t="shared" si="26"/>
        <v>316.5</v>
      </c>
      <c r="AN39" s="134">
        <f t="shared" si="1"/>
        <v>336.9</v>
      </c>
      <c r="AO39" s="3">
        <v>100.7</v>
      </c>
      <c r="AP39" s="3">
        <v>101.3</v>
      </c>
      <c r="AQ39" s="3">
        <v>102.3</v>
      </c>
      <c r="AR39" s="3">
        <v>98.2</v>
      </c>
      <c r="AS39" s="3">
        <v>91.6</v>
      </c>
      <c r="AT39" s="3">
        <v>100.4</v>
      </c>
      <c r="AU39" s="3">
        <v>102.2</v>
      </c>
      <c r="AV39" s="3">
        <v>106.2</v>
      </c>
      <c r="AW39" s="3">
        <v>108.1</v>
      </c>
      <c r="AX39" s="3">
        <v>106.1</v>
      </c>
      <c r="AY39" s="3">
        <v>110.5</v>
      </c>
      <c r="AZ39" s="3">
        <v>120.3</v>
      </c>
      <c r="BA39" s="192">
        <f t="shared" si="27"/>
        <v>1340.3</v>
      </c>
      <c r="BB39" s="192">
        <f t="shared" si="13"/>
        <v>325.7</v>
      </c>
      <c r="BC39" s="192">
        <f t="shared" si="14"/>
        <v>318.6</v>
      </c>
      <c r="BD39" s="192">
        <f t="shared" si="15"/>
        <v>351.1</v>
      </c>
      <c r="BE39" s="192">
        <f t="shared" si="16"/>
        <v>344.9</v>
      </c>
      <c r="BF39" s="43">
        <v>108.3</v>
      </c>
      <c r="BG39" s="318">
        <v>107.7</v>
      </c>
      <c r="BH39" s="318">
        <v>109.7</v>
      </c>
      <c r="BI39" s="318">
        <v>107.7</v>
      </c>
      <c r="BJ39" s="318">
        <v>104.5</v>
      </c>
      <c r="BK39" s="318">
        <v>106.4</v>
      </c>
      <c r="BL39" s="318">
        <v>115.1</v>
      </c>
      <c r="BM39" s="318">
        <v>117.2</v>
      </c>
      <c r="BN39" s="318">
        <v>118.8</v>
      </c>
      <c r="BO39" s="318">
        <v>114.2</v>
      </c>
      <c r="BP39" s="318">
        <v>113.9</v>
      </c>
      <c r="BQ39" s="3">
        <v>116.8</v>
      </c>
      <c r="BR39" s="192">
        <f>SUM(BS39:BV39)</f>
        <v>1442.1</v>
      </c>
      <c r="BS39" s="192">
        <f>SUM(BW39:BY39)</f>
        <v>344.7</v>
      </c>
      <c r="BT39" s="192">
        <f>SUM(BZ39:CB39)</f>
        <v>335.7</v>
      </c>
      <c r="BU39" s="192">
        <f>SUM(CC39:CE39)</f>
        <v>376.3</v>
      </c>
      <c r="BV39" s="192">
        <f>SUM(CF39:CH39)</f>
        <v>385.4</v>
      </c>
      <c r="BW39" s="121">
        <v>115.5</v>
      </c>
      <c r="BX39" s="121">
        <v>113.5</v>
      </c>
      <c r="BY39" s="3">
        <v>115.7</v>
      </c>
      <c r="BZ39" s="3">
        <v>111.3</v>
      </c>
      <c r="CA39" s="3">
        <v>111.8</v>
      </c>
      <c r="CB39" s="3">
        <v>112.6</v>
      </c>
      <c r="CC39" s="3">
        <v>125.1</v>
      </c>
      <c r="CD39" s="3">
        <v>126.4</v>
      </c>
      <c r="CE39" s="3">
        <v>124.8</v>
      </c>
      <c r="CF39" s="3">
        <v>119.6</v>
      </c>
      <c r="CG39" s="3">
        <v>125.1</v>
      </c>
      <c r="CH39" s="3">
        <v>140.7</v>
      </c>
      <c r="CI39" s="192">
        <v>1609.8</v>
      </c>
      <c r="CJ39" s="343">
        <f>SUM(CN39:CP39)</f>
        <v>366.4</v>
      </c>
      <c r="CK39" s="343">
        <f>SUM(CQ39:CS39)</f>
        <v>377.1</v>
      </c>
      <c r="CL39" s="343">
        <f>SUM(CT39:CV39)</f>
        <v>417.5</v>
      </c>
      <c r="CM39" s="343">
        <f>SUM(CW39:CY39)</f>
        <v>448.9</v>
      </c>
      <c r="CN39" s="334">
        <v>124.6</v>
      </c>
      <c r="CO39" s="334">
        <v>122</v>
      </c>
      <c r="CP39" s="334">
        <v>119.8</v>
      </c>
      <c r="CQ39" s="332">
        <v>120.6</v>
      </c>
      <c r="CR39" s="332">
        <v>116.1</v>
      </c>
      <c r="CS39" s="332">
        <v>140.4</v>
      </c>
      <c r="CT39" s="339">
        <v>140.6</v>
      </c>
      <c r="CU39" s="339">
        <v>141</v>
      </c>
      <c r="CV39" s="339">
        <v>135.9</v>
      </c>
      <c r="CW39" s="339">
        <v>129.5</v>
      </c>
      <c r="CX39" s="339">
        <v>152.3</v>
      </c>
      <c r="CY39" s="339">
        <v>167.1</v>
      </c>
      <c r="CZ39" s="192">
        <f t="shared" si="18"/>
        <v>1889.1</v>
      </c>
      <c r="DA39" s="343">
        <f t="shared" si="2"/>
        <v>476.6</v>
      </c>
      <c r="DB39" s="343">
        <f t="shared" si="3"/>
        <v>435.8</v>
      </c>
      <c r="DC39" s="343">
        <f t="shared" si="4"/>
        <v>485.5</v>
      </c>
      <c r="DD39" s="343">
        <f t="shared" si="5"/>
        <v>491.2</v>
      </c>
      <c r="DE39" s="334">
        <v>159.6</v>
      </c>
      <c r="DF39" s="332">
        <v>165.8</v>
      </c>
      <c r="DG39" s="334">
        <v>151.2</v>
      </c>
      <c r="DH39" s="332">
        <v>128.1</v>
      </c>
      <c r="DI39" s="332">
        <v>154.2</v>
      </c>
      <c r="DJ39" s="332">
        <v>153.5</v>
      </c>
      <c r="DK39" s="339">
        <v>158.4</v>
      </c>
      <c r="DL39" s="339">
        <v>162</v>
      </c>
      <c r="DM39" s="339">
        <v>165.1</v>
      </c>
      <c r="DN39" s="339">
        <v>159.6</v>
      </c>
      <c r="DO39" s="339">
        <v>165.7</v>
      </c>
      <c r="DP39" s="339">
        <v>165.9</v>
      </c>
      <c r="DQ39" s="354">
        <v>2019.1</v>
      </c>
      <c r="DR39" s="332">
        <f t="shared" si="19"/>
        <v>472.2</v>
      </c>
      <c r="DS39" s="332">
        <f t="shared" si="20"/>
        <v>481.2</v>
      </c>
      <c r="DT39" s="332">
        <f t="shared" si="21"/>
        <v>510.4</v>
      </c>
      <c r="DU39" s="332">
        <f t="shared" si="22"/>
        <v>515</v>
      </c>
      <c r="DV39" s="362">
        <v>155.1</v>
      </c>
      <c r="DW39" s="332">
        <v>157.8</v>
      </c>
      <c r="DX39" s="332">
        <v>159.3</v>
      </c>
      <c r="DY39" s="343">
        <v>153.3</v>
      </c>
      <c r="DZ39" s="343">
        <v>162.3</v>
      </c>
      <c r="EA39" s="343">
        <v>165.6</v>
      </c>
      <c r="EB39" s="343">
        <v>169.8</v>
      </c>
      <c r="EC39" s="343">
        <v>171.4</v>
      </c>
      <c r="ED39" s="343">
        <v>169.2</v>
      </c>
      <c r="EE39" s="343">
        <v>170.3</v>
      </c>
      <c r="EF39" s="343">
        <v>169.3</v>
      </c>
      <c r="EG39" s="343">
        <v>175.4</v>
      </c>
      <c r="EH39" s="343">
        <v>158.1</v>
      </c>
      <c r="EI39" s="343">
        <v>161.8</v>
      </c>
      <c r="EJ39" s="368">
        <v>158.9</v>
      </c>
      <c r="EK39" s="343">
        <v>178</v>
      </c>
      <c r="EL39" s="343">
        <v>158.6</v>
      </c>
    </row>
    <row r="40" spans="1:142" ht="12.75">
      <c r="A40" s="275" t="s">
        <v>133</v>
      </c>
      <c r="B40" s="294">
        <v>8.5</v>
      </c>
      <c r="C40" s="134">
        <v>0</v>
      </c>
      <c r="D40" s="134">
        <f t="shared" si="23"/>
        <v>0.1</v>
      </c>
      <c r="E40" s="134">
        <v>0</v>
      </c>
      <c r="F40" s="134">
        <f t="shared" si="25"/>
        <v>8.1</v>
      </c>
      <c r="G40" s="43">
        <v>0</v>
      </c>
      <c r="H40" s="43">
        <v>0</v>
      </c>
      <c r="I40" s="43">
        <v>0</v>
      </c>
      <c r="J40" s="134">
        <v>0</v>
      </c>
      <c r="K40" s="134">
        <v>0</v>
      </c>
      <c r="L40" s="134">
        <v>0.1</v>
      </c>
      <c r="M40" s="134">
        <v>0.1</v>
      </c>
      <c r="N40" s="134">
        <v>0.1</v>
      </c>
      <c r="O40" s="3">
        <v>0.1</v>
      </c>
      <c r="P40" s="134">
        <v>0.1</v>
      </c>
      <c r="Q40" s="3">
        <v>0.1</v>
      </c>
      <c r="R40" s="134">
        <v>7.9</v>
      </c>
      <c r="S40" s="173">
        <v>10.2</v>
      </c>
      <c r="T40" s="134">
        <f t="shared" si="6"/>
        <v>2.5</v>
      </c>
      <c r="U40" s="134">
        <f t="shared" si="7"/>
        <v>2.7</v>
      </c>
      <c r="V40" s="134">
        <f t="shared" si="8"/>
        <v>2.5</v>
      </c>
      <c r="W40" s="134">
        <f t="shared" si="9"/>
        <v>2.5</v>
      </c>
      <c r="X40" s="3">
        <v>0.9</v>
      </c>
      <c r="Y40" s="3">
        <v>0.8</v>
      </c>
      <c r="Z40" s="3">
        <v>0.8</v>
      </c>
      <c r="AA40" s="134">
        <v>0.9</v>
      </c>
      <c r="AB40" s="134">
        <v>0.9</v>
      </c>
      <c r="AC40" s="134">
        <v>0.9</v>
      </c>
      <c r="AD40" s="134">
        <v>0.9</v>
      </c>
      <c r="AE40" s="134">
        <v>0.9</v>
      </c>
      <c r="AF40" s="43">
        <v>0.7</v>
      </c>
      <c r="AG40" s="134">
        <v>0.7</v>
      </c>
      <c r="AH40" s="3">
        <v>0.9</v>
      </c>
      <c r="AI40" s="3">
        <v>0.9</v>
      </c>
      <c r="AJ40" s="134">
        <f t="shared" si="10"/>
        <v>0</v>
      </c>
      <c r="AK40" s="134"/>
      <c r="AL40" s="134"/>
      <c r="AM40" s="134"/>
      <c r="AN40" s="134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192">
        <f t="shared" si="27"/>
        <v>1.1</v>
      </c>
      <c r="BB40" s="192">
        <f t="shared" si="13"/>
        <v>0.3</v>
      </c>
      <c r="BC40" s="192">
        <f t="shared" si="14"/>
        <v>0.3</v>
      </c>
      <c r="BD40" s="192">
        <f t="shared" si="15"/>
        <v>0.3</v>
      </c>
      <c r="BE40" s="192">
        <f t="shared" si="16"/>
        <v>0.2</v>
      </c>
      <c r="BF40" s="43">
        <v>0.1</v>
      </c>
      <c r="BG40" s="318">
        <v>0.1</v>
      </c>
      <c r="BH40" s="318">
        <v>0.1</v>
      </c>
      <c r="BI40" s="318">
        <v>0.1</v>
      </c>
      <c r="BJ40" s="318">
        <v>0.1</v>
      </c>
      <c r="BK40" s="318">
        <v>0.1</v>
      </c>
      <c r="BL40" s="318">
        <v>0.1</v>
      </c>
      <c r="BM40" s="318">
        <v>0.1</v>
      </c>
      <c r="BN40" s="318">
        <v>0.1</v>
      </c>
      <c r="BO40" s="318">
        <v>0.1</v>
      </c>
      <c r="BP40" s="318">
        <v>0.1</v>
      </c>
      <c r="BQ40" s="3"/>
      <c r="BR40" s="192">
        <f>SUM(BS40:BV40)</f>
        <v>1.3</v>
      </c>
      <c r="BS40" s="192">
        <f>SUM(BW40:BY40)</f>
        <v>0.3</v>
      </c>
      <c r="BT40" s="192">
        <f>SUM(BZ40:CB40)</f>
        <v>0.3</v>
      </c>
      <c r="BU40" s="192">
        <f>SUM(CC40:CE40)</f>
        <v>0.3</v>
      </c>
      <c r="BV40" s="192">
        <f>SUM(CF40:CH40)</f>
        <v>0.4</v>
      </c>
      <c r="BW40" s="121">
        <v>0.1</v>
      </c>
      <c r="BX40" s="121">
        <v>0.1</v>
      </c>
      <c r="BY40" s="3">
        <v>0.1</v>
      </c>
      <c r="BZ40" s="3">
        <v>0.1</v>
      </c>
      <c r="CA40" s="3">
        <v>0.1</v>
      </c>
      <c r="CB40" s="3">
        <v>0.1</v>
      </c>
      <c r="CC40" s="3">
        <v>0.1</v>
      </c>
      <c r="CD40" s="3">
        <v>0.1</v>
      </c>
      <c r="CE40" s="3">
        <v>0.1</v>
      </c>
      <c r="CF40" s="3">
        <v>0.1</v>
      </c>
      <c r="CG40" s="3">
        <v>0.1</v>
      </c>
      <c r="CH40" s="3">
        <v>0.2</v>
      </c>
      <c r="CI40" s="192">
        <v>4.1</v>
      </c>
      <c r="CJ40" s="343">
        <f>SUM(CN40:CP40)</f>
        <v>0.7</v>
      </c>
      <c r="CK40" s="343">
        <f>SUM(CQ40:CS40)</f>
        <v>0.6</v>
      </c>
      <c r="CL40" s="343">
        <f>SUM(CT40:CV40)</f>
        <v>1.2</v>
      </c>
      <c r="CM40" s="343">
        <f>SUM(CW40:CY40)</f>
        <v>1.6</v>
      </c>
      <c r="CN40" s="334">
        <v>0.2</v>
      </c>
      <c r="CO40" s="334">
        <v>0.3</v>
      </c>
      <c r="CP40" s="334">
        <v>0.2</v>
      </c>
      <c r="CQ40" s="332">
        <v>0.2</v>
      </c>
      <c r="CR40" s="332">
        <v>0.2</v>
      </c>
      <c r="CS40" s="332">
        <v>0.2</v>
      </c>
      <c r="CT40" s="339">
        <v>0.2</v>
      </c>
      <c r="CU40" s="339">
        <v>0.5</v>
      </c>
      <c r="CV40" s="339">
        <v>0.5</v>
      </c>
      <c r="CW40" s="339">
        <v>0.5</v>
      </c>
      <c r="CX40" s="339">
        <v>0.5</v>
      </c>
      <c r="CY40" s="339">
        <v>0.6</v>
      </c>
      <c r="CZ40" s="192">
        <f t="shared" si="18"/>
        <v>2.7</v>
      </c>
      <c r="DA40" s="343">
        <f t="shared" si="2"/>
        <v>0.7</v>
      </c>
      <c r="DB40" s="343">
        <f t="shared" si="3"/>
        <v>0.5</v>
      </c>
      <c r="DC40" s="343">
        <f t="shared" si="4"/>
        <v>0.4</v>
      </c>
      <c r="DD40" s="343">
        <f t="shared" si="5"/>
        <v>1.1</v>
      </c>
      <c r="DE40" s="334">
        <v>0.2</v>
      </c>
      <c r="DF40" s="332">
        <v>0.3</v>
      </c>
      <c r="DG40" s="334">
        <v>0.2</v>
      </c>
      <c r="DH40" s="332">
        <v>0.1</v>
      </c>
      <c r="DI40" s="332">
        <v>0.3</v>
      </c>
      <c r="DJ40" s="332">
        <v>0.1</v>
      </c>
      <c r="DK40" s="339">
        <v>0.1</v>
      </c>
      <c r="DL40" s="339">
        <v>0.1</v>
      </c>
      <c r="DM40" s="339">
        <v>0.2</v>
      </c>
      <c r="DN40" s="339">
        <v>0.3</v>
      </c>
      <c r="DO40" s="339">
        <v>0.4</v>
      </c>
      <c r="DP40" s="339">
        <v>0.4</v>
      </c>
      <c r="DQ40" s="354">
        <v>2.5</v>
      </c>
      <c r="DR40" s="332">
        <f t="shared" si="19"/>
        <v>0.3</v>
      </c>
      <c r="DS40" s="332">
        <f t="shared" si="20"/>
        <v>0.8</v>
      </c>
      <c r="DT40" s="332">
        <f t="shared" si="21"/>
        <v>0.6</v>
      </c>
      <c r="DU40" s="332">
        <f t="shared" si="22"/>
        <v>0.7</v>
      </c>
      <c r="DV40" s="363">
        <v>0.1</v>
      </c>
      <c r="DW40" s="332">
        <v>0.1</v>
      </c>
      <c r="DX40" s="332">
        <v>0.1</v>
      </c>
      <c r="DY40" s="343">
        <v>0.4</v>
      </c>
      <c r="DZ40" s="343">
        <v>0.2</v>
      </c>
      <c r="EA40" s="343">
        <v>0.2</v>
      </c>
      <c r="EB40" s="343">
        <v>0.2</v>
      </c>
      <c r="EC40" s="343">
        <v>0.2</v>
      </c>
      <c r="ED40" s="343">
        <v>0.2</v>
      </c>
      <c r="EE40" s="343">
        <v>0.1</v>
      </c>
      <c r="EF40" s="343">
        <v>0.3</v>
      </c>
      <c r="EG40" s="343">
        <v>0.3</v>
      </c>
      <c r="EH40" s="343">
        <v>0.2</v>
      </c>
      <c r="EI40" s="343">
        <v>0.2</v>
      </c>
      <c r="EJ40" s="368">
        <v>0.2</v>
      </c>
      <c r="EK40" s="343">
        <v>0.2</v>
      </c>
      <c r="EL40" s="343">
        <v>0.2</v>
      </c>
    </row>
    <row r="41" spans="1:142" ht="12.75">
      <c r="A41" s="275" t="s">
        <v>129</v>
      </c>
      <c r="B41" s="294">
        <f>SUM(G41:R41)</f>
        <v>154.7</v>
      </c>
      <c r="C41" s="134">
        <f>G41+H41+I41</f>
        <v>15.8</v>
      </c>
      <c r="D41" s="134">
        <f t="shared" si="23"/>
        <v>23.4</v>
      </c>
      <c r="E41" s="134">
        <f t="shared" si="24"/>
        <v>37.5</v>
      </c>
      <c r="F41" s="134">
        <f t="shared" si="25"/>
        <v>78</v>
      </c>
      <c r="G41" s="3">
        <v>7.7</v>
      </c>
      <c r="H41" s="43">
        <v>4.5</v>
      </c>
      <c r="I41" s="3">
        <v>3.6</v>
      </c>
      <c r="J41" s="134">
        <v>5.8</v>
      </c>
      <c r="K41" s="134">
        <v>3.8</v>
      </c>
      <c r="L41" s="134">
        <v>13.8</v>
      </c>
      <c r="M41" s="134">
        <v>17.3</v>
      </c>
      <c r="N41" s="134">
        <v>15</v>
      </c>
      <c r="O41" s="3">
        <v>5.2</v>
      </c>
      <c r="P41" s="134">
        <v>7.2</v>
      </c>
      <c r="Q41" s="43">
        <v>8.7</v>
      </c>
      <c r="R41" s="134">
        <v>62.1</v>
      </c>
      <c r="S41" s="173">
        <v>176.8</v>
      </c>
      <c r="T41" s="134">
        <f t="shared" si="6"/>
        <v>43.2</v>
      </c>
      <c r="U41" s="134">
        <f t="shared" si="7"/>
        <v>55</v>
      </c>
      <c r="V41" s="134">
        <f t="shared" si="8"/>
        <v>45.8</v>
      </c>
      <c r="W41" s="134">
        <f t="shared" si="9"/>
        <v>32.8</v>
      </c>
      <c r="X41" s="3">
        <v>12.5</v>
      </c>
      <c r="Y41" s="43">
        <v>13.8</v>
      </c>
      <c r="Z41" s="3">
        <v>16.9</v>
      </c>
      <c r="AA41" s="134">
        <v>17.9</v>
      </c>
      <c r="AB41" s="134">
        <v>16.7</v>
      </c>
      <c r="AC41" s="134">
        <v>20.4</v>
      </c>
      <c r="AD41" s="134">
        <v>17.7</v>
      </c>
      <c r="AE41" s="134">
        <v>14.1</v>
      </c>
      <c r="AF41" s="43">
        <v>14</v>
      </c>
      <c r="AG41" s="134">
        <v>13.9</v>
      </c>
      <c r="AH41" s="43">
        <v>10.2</v>
      </c>
      <c r="AI41" s="3">
        <v>8.7</v>
      </c>
      <c r="AJ41" s="134">
        <f t="shared" si="10"/>
        <v>116.3</v>
      </c>
      <c r="AK41" s="134">
        <f t="shared" si="11"/>
        <v>21.9</v>
      </c>
      <c r="AL41" s="134">
        <f t="shared" si="12"/>
        <v>30.3</v>
      </c>
      <c r="AM41" s="134">
        <f t="shared" si="26"/>
        <v>32.2</v>
      </c>
      <c r="AN41" s="134">
        <f t="shared" si="1"/>
        <v>31.9</v>
      </c>
      <c r="AO41" s="3">
        <v>6.4</v>
      </c>
      <c r="AP41" s="3">
        <v>7.7</v>
      </c>
      <c r="AQ41" s="3">
        <v>7.8</v>
      </c>
      <c r="AR41" s="3">
        <v>8.6</v>
      </c>
      <c r="AS41" s="3">
        <v>10.1</v>
      </c>
      <c r="AT41" s="3">
        <v>11.6</v>
      </c>
      <c r="AU41" s="3">
        <v>12.1</v>
      </c>
      <c r="AV41" s="3">
        <v>11.5</v>
      </c>
      <c r="AW41" s="3">
        <v>8.6</v>
      </c>
      <c r="AX41" s="3">
        <v>7</v>
      </c>
      <c r="AY41" s="3">
        <v>11.7</v>
      </c>
      <c r="AZ41" s="3">
        <v>13.2</v>
      </c>
      <c r="BA41" s="192">
        <f t="shared" si="27"/>
        <v>158.9</v>
      </c>
      <c r="BB41" s="192">
        <f t="shared" si="13"/>
        <v>27.8</v>
      </c>
      <c r="BC41" s="192">
        <f t="shared" si="14"/>
        <v>42.8</v>
      </c>
      <c r="BD41" s="192">
        <f t="shared" si="15"/>
        <v>42.2</v>
      </c>
      <c r="BE41" s="192">
        <f t="shared" si="16"/>
        <v>46.1</v>
      </c>
      <c r="BF41" s="43">
        <v>6.9</v>
      </c>
      <c r="BG41" s="318">
        <v>8.3</v>
      </c>
      <c r="BH41" s="318">
        <v>12.6</v>
      </c>
      <c r="BI41" s="318">
        <v>14.3</v>
      </c>
      <c r="BJ41" s="318">
        <v>14</v>
      </c>
      <c r="BK41" s="318">
        <v>14.5</v>
      </c>
      <c r="BL41" s="318">
        <v>12.6</v>
      </c>
      <c r="BM41" s="318">
        <v>13.9</v>
      </c>
      <c r="BN41" s="318">
        <v>15.7</v>
      </c>
      <c r="BO41" s="318">
        <v>14.3</v>
      </c>
      <c r="BP41" s="318">
        <v>16.5</v>
      </c>
      <c r="BQ41" s="3">
        <v>15.3</v>
      </c>
      <c r="BR41" s="192">
        <f>SUM(BS41:BV41)</f>
        <v>870</v>
      </c>
      <c r="BS41" s="192">
        <f>SUM(BW41:BY41)</f>
        <v>160.7</v>
      </c>
      <c r="BT41" s="192">
        <f>SUM(BZ41:CB41)</f>
        <v>232.6</v>
      </c>
      <c r="BU41" s="192">
        <f>SUM(CC41:CE41)</f>
        <v>239.3</v>
      </c>
      <c r="BV41" s="192">
        <f>SUM(CF41:CH41)</f>
        <v>237.4</v>
      </c>
      <c r="BW41" s="121">
        <v>31.4</v>
      </c>
      <c r="BX41" s="121">
        <v>51.5</v>
      </c>
      <c r="BY41" s="3">
        <v>77.8</v>
      </c>
      <c r="BZ41" s="3">
        <v>85.4</v>
      </c>
      <c r="CA41" s="3">
        <v>64.2</v>
      </c>
      <c r="CB41" s="43">
        <v>83</v>
      </c>
      <c r="CC41" s="43">
        <v>94</v>
      </c>
      <c r="CD41" s="43">
        <v>84.3</v>
      </c>
      <c r="CE41" s="43">
        <v>61</v>
      </c>
      <c r="CF41" s="43">
        <v>66</v>
      </c>
      <c r="CG41" s="43">
        <v>75.3</v>
      </c>
      <c r="CH41" s="3">
        <v>96.1</v>
      </c>
      <c r="CI41" s="192">
        <v>708.1</v>
      </c>
      <c r="CJ41" s="343">
        <f>SUM(CN41:CP41)</f>
        <v>208.9</v>
      </c>
      <c r="CK41" s="343">
        <f>SUM(CQ41:CS41)</f>
        <v>204.8</v>
      </c>
      <c r="CL41" s="343">
        <f>SUM(CT41:CV41)</f>
        <v>171.5</v>
      </c>
      <c r="CM41" s="343">
        <f>SUM(CW41:CY41)</f>
        <v>122.9</v>
      </c>
      <c r="CN41" s="334">
        <v>61.7</v>
      </c>
      <c r="CO41" s="334">
        <v>65.5</v>
      </c>
      <c r="CP41" s="334">
        <v>81.7</v>
      </c>
      <c r="CQ41" s="332">
        <v>85.8</v>
      </c>
      <c r="CR41" s="332">
        <v>64.1</v>
      </c>
      <c r="CS41" s="332">
        <v>54.9</v>
      </c>
      <c r="CT41" s="339">
        <v>61.7</v>
      </c>
      <c r="CU41" s="339">
        <v>52.7</v>
      </c>
      <c r="CV41" s="339">
        <v>57.1</v>
      </c>
      <c r="CW41" s="339">
        <v>47</v>
      </c>
      <c r="CX41" s="339">
        <v>37.8</v>
      </c>
      <c r="CY41" s="339">
        <v>38.1</v>
      </c>
      <c r="CZ41" s="192">
        <f t="shared" si="18"/>
        <v>715.9</v>
      </c>
      <c r="DA41" s="343">
        <f t="shared" si="2"/>
        <v>138.5</v>
      </c>
      <c r="DB41" s="343">
        <f t="shared" si="3"/>
        <v>86</v>
      </c>
      <c r="DC41" s="343">
        <f t="shared" si="4"/>
        <v>207.6</v>
      </c>
      <c r="DD41" s="343">
        <f t="shared" si="5"/>
        <v>283.8</v>
      </c>
      <c r="DE41" s="334">
        <v>35.1</v>
      </c>
      <c r="DF41" s="332">
        <v>62.1</v>
      </c>
      <c r="DG41" s="334">
        <v>41.3</v>
      </c>
      <c r="DH41" s="332">
        <v>20.7</v>
      </c>
      <c r="DI41" s="332">
        <v>26.7</v>
      </c>
      <c r="DJ41" s="332">
        <v>38.6</v>
      </c>
      <c r="DK41" s="339">
        <v>56.9</v>
      </c>
      <c r="DL41" s="339">
        <v>65.2</v>
      </c>
      <c r="DM41" s="339">
        <v>85.5</v>
      </c>
      <c r="DN41" s="339">
        <v>67.2</v>
      </c>
      <c r="DO41" s="339">
        <v>82.7</v>
      </c>
      <c r="DP41" s="339">
        <v>133.9</v>
      </c>
      <c r="DQ41" s="354">
        <v>1640.7</v>
      </c>
      <c r="DR41" s="332">
        <f t="shared" si="19"/>
        <v>419.5</v>
      </c>
      <c r="DS41" s="332">
        <f t="shared" si="20"/>
        <v>449.4</v>
      </c>
      <c r="DT41" s="332">
        <f t="shared" si="21"/>
        <v>395.7</v>
      </c>
      <c r="DU41" s="332">
        <f t="shared" si="22"/>
        <v>367.8</v>
      </c>
      <c r="DV41" s="362">
        <v>119.1</v>
      </c>
      <c r="DW41" s="332">
        <v>99.1</v>
      </c>
      <c r="DX41" s="332">
        <v>201.3</v>
      </c>
      <c r="DY41" s="343">
        <v>160.1</v>
      </c>
      <c r="DZ41" s="343">
        <v>152.1</v>
      </c>
      <c r="EA41" s="343">
        <v>137.2</v>
      </c>
      <c r="EB41" s="343">
        <v>135.7</v>
      </c>
      <c r="EC41" s="343">
        <v>127</v>
      </c>
      <c r="ED41" s="343">
        <v>133</v>
      </c>
      <c r="EE41" s="343">
        <v>117.3</v>
      </c>
      <c r="EF41" s="343">
        <v>93</v>
      </c>
      <c r="EG41" s="343">
        <v>157.5</v>
      </c>
      <c r="EH41" s="343">
        <v>114.4</v>
      </c>
      <c r="EI41" s="343">
        <v>99.4</v>
      </c>
      <c r="EJ41" s="368">
        <v>223.8</v>
      </c>
      <c r="EK41" s="343">
        <v>73</v>
      </c>
      <c r="EL41" s="343">
        <v>163.4</v>
      </c>
    </row>
    <row r="42" spans="1:142" ht="12.75">
      <c r="A42" s="275" t="s">
        <v>130</v>
      </c>
      <c r="B42" s="294">
        <f>SUM(G42:R42)</f>
        <v>299.7</v>
      </c>
      <c r="C42" s="134">
        <f>G42+H42+I42</f>
        <v>76.5</v>
      </c>
      <c r="D42" s="134">
        <f t="shared" si="23"/>
        <v>76.9</v>
      </c>
      <c r="E42" s="134">
        <f t="shared" si="24"/>
        <v>72</v>
      </c>
      <c r="F42" s="134">
        <f t="shared" si="25"/>
        <v>74.3</v>
      </c>
      <c r="G42" s="2">
        <v>29.1</v>
      </c>
      <c r="H42" s="2">
        <v>19.4</v>
      </c>
      <c r="I42" s="2">
        <v>28</v>
      </c>
      <c r="J42" s="134">
        <v>25.1</v>
      </c>
      <c r="K42" s="134">
        <v>25.8</v>
      </c>
      <c r="L42" s="134">
        <v>26</v>
      </c>
      <c r="M42" s="134">
        <v>21.5</v>
      </c>
      <c r="N42" s="134">
        <v>24.5</v>
      </c>
      <c r="O42" s="26">
        <v>26</v>
      </c>
      <c r="P42" s="134">
        <v>25.2</v>
      </c>
      <c r="Q42" s="2">
        <v>26.6</v>
      </c>
      <c r="R42" s="134">
        <v>22.5</v>
      </c>
      <c r="S42" s="160">
        <v>330.2</v>
      </c>
      <c r="T42" s="134">
        <f t="shared" si="6"/>
        <v>81.6</v>
      </c>
      <c r="U42" s="134">
        <f t="shared" si="7"/>
        <v>85.6</v>
      </c>
      <c r="V42" s="134">
        <f t="shared" si="8"/>
        <v>83.6</v>
      </c>
      <c r="W42" s="134">
        <f t="shared" si="9"/>
        <v>79.4</v>
      </c>
      <c r="X42" s="2">
        <v>27.1</v>
      </c>
      <c r="Y42" s="2">
        <v>26.2</v>
      </c>
      <c r="Z42" s="2">
        <v>28.3</v>
      </c>
      <c r="AA42" s="134">
        <v>29.1</v>
      </c>
      <c r="AB42" s="134">
        <v>27.7</v>
      </c>
      <c r="AC42" s="134">
        <v>28.8</v>
      </c>
      <c r="AD42" s="134">
        <v>27.8</v>
      </c>
      <c r="AE42" s="134">
        <v>26.5</v>
      </c>
      <c r="AF42" s="26">
        <v>29.3</v>
      </c>
      <c r="AG42" s="134">
        <v>27.7</v>
      </c>
      <c r="AH42" s="2">
        <v>25.4</v>
      </c>
      <c r="AI42" s="3">
        <v>26.3</v>
      </c>
      <c r="AJ42" s="134">
        <f t="shared" si="10"/>
        <v>364.6</v>
      </c>
      <c r="AK42" s="134">
        <f t="shared" si="11"/>
        <v>81.4</v>
      </c>
      <c r="AL42" s="134">
        <f t="shared" si="12"/>
        <v>103.8</v>
      </c>
      <c r="AM42" s="134">
        <f t="shared" si="26"/>
        <v>84.6</v>
      </c>
      <c r="AN42" s="134">
        <f t="shared" si="1"/>
        <v>94.8</v>
      </c>
      <c r="AO42" s="3">
        <v>26.2</v>
      </c>
      <c r="AP42" s="3">
        <v>22.4</v>
      </c>
      <c r="AQ42" s="3">
        <v>32.8</v>
      </c>
      <c r="AR42" s="3">
        <v>33.5</v>
      </c>
      <c r="AS42" s="3">
        <v>33</v>
      </c>
      <c r="AT42" s="86">
        <v>37.3</v>
      </c>
      <c r="AU42" s="86">
        <v>30.2</v>
      </c>
      <c r="AV42" s="86">
        <v>30.1</v>
      </c>
      <c r="AW42" s="86">
        <v>24.3</v>
      </c>
      <c r="AX42" s="86">
        <v>27.5</v>
      </c>
      <c r="AY42" s="86">
        <v>31.5</v>
      </c>
      <c r="AZ42" s="86">
        <v>35.8</v>
      </c>
      <c r="BA42" s="192">
        <f t="shared" si="27"/>
        <v>343.1</v>
      </c>
      <c r="BB42" s="192">
        <f t="shared" si="13"/>
        <v>87.2</v>
      </c>
      <c r="BC42" s="192">
        <f t="shared" si="14"/>
        <v>77.9</v>
      </c>
      <c r="BD42" s="192">
        <f t="shared" si="15"/>
        <v>80</v>
      </c>
      <c r="BE42" s="192">
        <f t="shared" si="16"/>
        <v>98</v>
      </c>
      <c r="BF42" s="101">
        <v>27.7</v>
      </c>
      <c r="BG42" s="318">
        <v>27.9</v>
      </c>
      <c r="BH42" s="318">
        <v>31.6</v>
      </c>
      <c r="BI42" s="318">
        <v>25.5</v>
      </c>
      <c r="BJ42" s="318">
        <v>26.2</v>
      </c>
      <c r="BK42" s="318">
        <v>26.2</v>
      </c>
      <c r="BL42" s="318">
        <v>27.6</v>
      </c>
      <c r="BM42" s="318">
        <v>27.7</v>
      </c>
      <c r="BN42" s="318">
        <v>24.7</v>
      </c>
      <c r="BO42" s="318">
        <v>25.3</v>
      </c>
      <c r="BP42" s="318">
        <v>32.8</v>
      </c>
      <c r="BQ42" s="86">
        <v>39.9</v>
      </c>
      <c r="BR42" s="192">
        <f>SUM(BS42:BV42)</f>
        <v>375.4</v>
      </c>
      <c r="BS42" s="192">
        <f>SUM(BW42:BY42)</f>
        <v>86.6</v>
      </c>
      <c r="BT42" s="192">
        <f>SUM(BZ42:CB42)</f>
        <v>97.5</v>
      </c>
      <c r="BU42" s="192">
        <f>SUM(CC42:CE42)</f>
        <v>97</v>
      </c>
      <c r="BV42" s="192">
        <f>SUM(CF42:CH42)</f>
        <v>94.3</v>
      </c>
      <c r="BW42" s="317">
        <v>28.3</v>
      </c>
      <c r="BX42" s="317">
        <v>28.5</v>
      </c>
      <c r="BY42" s="86">
        <v>29.8</v>
      </c>
      <c r="BZ42" s="86">
        <v>31.4</v>
      </c>
      <c r="CA42" s="86">
        <v>36.8</v>
      </c>
      <c r="CB42" s="86">
        <v>29.3</v>
      </c>
      <c r="CC42" s="86">
        <v>30.6</v>
      </c>
      <c r="CD42" s="86">
        <v>32.4</v>
      </c>
      <c r="CE42" s="101">
        <v>34</v>
      </c>
      <c r="CF42" s="101">
        <v>34.2</v>
      </c>
      <c r="CG42" s="101">
        <v>29.6</v>
      </c>
      <c r="CH42" s="101">
        <v>30.5</v>
      </c>
      <c r="CI42" s="272">
        <v>404.6</v>
      </c>
      <c r="CJ42" s="343">
        <f>SUM(CN42:CP42)</f>
        <v>91.6</v>
      </c>
      <c r="CK42" s="343">
        <f>SUM(CQ42:CS42)</f>
        <v>102.1</v>
      </c>
      <c r="CL42" s="343">
        <f>SUM(CT42:CV42)</f>
        <v>100.7</v>
      </c>
      <c r="CM42" s="343">
        <f>SUM(CW42:CY42)</f>
        <v>110.2</v>
      </c>
      <c r="CN42" s="335">
        <v>29.7</v>
      </c>
      <c r="CO42" s="335">
        <v>29.2</v>
      </c>
      <c r="CP42" s="335">
        <v>32.7</v>
      </c>
      <c r="CQ42" s="332">
        <v>33.2</v>
      </c>
      <c r="CR42" s="332">
        <v>34.6</v>
      </c>
      <c r="CS42" s="332">
        <v>34.3</v>
      </c>
      <c r="CT42" s="340">
        <v>34.3</v>
      </c>
      <c r="CU42" s="340">
        <v>31.6</v>
      </c>
      <c r="CV42" s="340">
        <v>34.8</v>
      </c>
      <c r="CW42" s="340">
        <v>35.5</v>
      </c>
      <c r="CX42" s="340">
        <v>34.3</v>
      </c>
      <c r="CY42" s="340">
        <v>40.4</v>
      </c>
      <c r="CZ42" s="192">
        <f t="shared" si="18"/>
        <v>366.7</v>
      </c>
      <c r="DA42" s="343">
        <f t="shared" si="2"/>
        <v>93.5</v>
      </c>
      <c r="DB42" s="343">
        <f t="shared" si="3"/>
        <v>68.3</v>
      </c>
      <c r="DC42" s="343">
        <f t="shared" si="4"/>
        <v>95</v>
      </c>
      <c r="DD42" s="343">
        <f t="shared" si="5"/>
        <v>109.9</v>
      </c>
      <c r="DE42" s="335">
        <v>31.1</v>
      </c>
      <c r="DF42" s="332">
        <v>33.6</v>
      </c>
      <c r="DG42" s="335">
        <v>28.8</v>
      </c>
      <c r="DH42" s="332">
        <v>13.4</v>
      </c>
      <c r="DI42" s="332">
        <v>24</v>
      </c>
      <c r="DJ42" s="332">
        <v>30.9</v>
      </c>
      <c r="DK42" s="340">
        <v>29.3</v>
      </c>
      <c r="DL42" s="340">
        <v>30.6</v>
      </c>
      <c r="DM42" s="340">
        <v>35.1</v>
      </c>
      <c r="DN42" s="340">
        <v>34.6</v>
      </c>
      <c r="DO42" s="340">
        <v>33.9</v>
      </c>
      <c r="DP42" s="340">
        <v>41.4</v>
      </c>
      <c r="DQ42" s="355">
        <v>433.9</v>
      </c>
      <c r="DR42" s="332">
        <f t="shared" si="19"/>
        <v>101</v>
      </c>
      <c r="DS42" s="332">
        <f t="shared" si="20"/>
        <v>107.8</v>
      </c>
      <c r="DT42" s="332">
        <f t="shared" si="21"/>
        <v>102.6</v>
      </c>
      <c r="DU42" s="332">
        <f t="shared" si="22"/>
        <v>115.1</v>
      </c>
      <c r="DV42" s="364">
        <v>29.3</v>
      </c>
      <c r="DW42" s="332">
        <v>31.9</v>
      </c>
      <c r="DX42" s="332">
        <v>39.8</v>
      </c>
      <c r="DY42" s="343">
        <v>36.4</v>
      </c>
      <c r="DZ42" s="343">
        <v>33.7</v>
      </c>
      <c r="EA42" s="343">
        <v>37.7</v>
      </c>
      <c r="EB42" s="343">
        <v>31.5</v>
      </c>
      <c r="EC42" s="343">
        <v>34</v>
      </c>
      <c r="ED42" s="343">
        <v>37.1</v>
      </c>
      <c r="EE42" s="343">
        <v>35.7</v>
      </c>
      <c r="EF42" s="343">
        <v>35.8</v>
      </c>
      <c r="EG42" s="343">
        <v>43.6</v>
      </c>
      <c r="EH42" s="343">
        <v>27.6</v>
      </c>
      <c r="EI42" s="343">
        <v>35.3</v>
      </c>
      <c r="EJ42" s="368">
        <v>39.1</v>
      </c>
      <c r="EK42" s="343">
        <v>42.2</v>
      </c>
      <c r="EL42" s="343">
        <v>37.2</v>
      </c>
    </row>
    <row r="43" spans="1:137" ht="12.75">
      <c r="A43"/>
      <c r="B43" s="160"/>
      <c r="C43" s="12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305"/>
      <c r="S43" s="287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CT43" s="341"/>
      <c r="CU43" s="341"/>
      <c r="CV43" s="341"/>
      <c r="CW43" s="341"/>
      <c r="CX43" s="345"/>
      <c r="CY43" s="345"/>
      <c r="DQ43" s="343"/>
      <c r="DR43" s="343"/>
      <c r="DS43" s="343"/>
      <c r="DT43" s="343"/>
      <c r="DU43" s="343"/>
      <c r="DV43" s="343"/>
      <c r="DW43" s="343"/>
      <c r="DZ43" s="343"/>
      <c r="EA43" s="343"/>
      <c r="EB43" s="343"/>
      <c r="EC43" s="343"/>
      <c r="ED43" s="343"/>
      <c r="EE43" s="343"/>
      <c r="EG43" s="343"/>
    </row>
    <row r="44" spans="1:19" ht="12.75">
      <c r="A44" s="60"/>
      <c r="B44" s="175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290"/>
      <c r="S44" s="290"/>
    </row>
    <row r="45" spans="1:19" ht="15.75">
      <c r="A45" s="1"/>
      <c r="B45" s="164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291"/>
      <c r="S45" s="291"/>
    </row>
    <row r="46" spans="1:35" ht="15.75">
      <c r="A46" s="1"/>
      <c r="B46" s="164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291"/>
      <c r="S46" s="291"/>
      <c r="X46" s="3"/>
      <c r="Y46" s="3"/>
      <c r="Z46" s="3"/>
      <c r="AA46" s="134"/>
      <c r="AB46" s="134"/>
      <c r="AC46" s="134"/>
      <c r="AD46" s="134"/>
      <c r="AE46" s="134"/>
      <c r="AF46" s="43"/>
      <c r="AG46" s="134"/>
      <c r="AH46" s="3"/>
      <c r="AI46" s="3"/>
    </row>
    <row r="47" spans="1:19" ht="12.75">
      <c r="A47" s="58"/>
      <c r="B47" s="164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291"/>
      <c r="S47" s="291"/>
    </row>
    <row r="48" spans="1:19" ht="12.75">
      <c r="A48" s="88"/>
      <c r="B48" s="74"/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92"/>
      <c r="S48" s="311"/>
    </row>
    <row r="49" spans="1:19" ht="12.75">
      <c r="A49" s="14"/>
      <c r="B49" s="7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293"/>
      <c r="S49" s="293"/>
    </row>
    <row r="50" spans="1:19" ht="12.75">
      <c r="A50" s="3"/>
      <c r="B50" s="17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99"/>
      <c r="S50" s="99"/>
    </row>
    <row r="51" spans="1:19" ht="12.75">
      <c r="A51" s="88"/>
      <c r="B51" s="172"/>
      <c r="C51" s="88"/>
      <c r="D51" s="79"/>
      <c r="E51" s="88"/>
      <c r="F51" s="79"/>
      <c r="G51" s="88"/>
      <c r="H51" s="88"/>
      <c r="I51" s="88"/>
      <c r="J51" s="79"/>
      <c r="K51" s="79"/>
      <c r="L51" s="79"/>
      <c r="M51" s="88"/>
      <c r="N51" s="88"/>
      <c r="O51" s="88"/>
      <c r="P51" s="88"/>
      <c r="Q51" s="79"/>
      <c r="R51" s="99"/>
      <c r="S51" s="99"/>
    </row>
    <row r="52" spans="1:19" ht="12.75">
      <c r="A52" s="3"/>
      <c r="B52" s="172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99"/>
      <c r="S52" s="99"/>
    </row>
    <row r="53" spans="1:19" ht="12.75">
      <c r="A53" s="88"/>
      <c r="B53" s="172"/>
      <c r="C53" s="88"/>
      <c r="D53" s="79"/>
      <c r="E53" s="88"/>
      <c r="F53" s="79"/>
      <c r="G53" s="88"/>
      <c r="H53" s="88"/>
      <c r="I53" s="88"/>
      <c r="J53" s="88"/>
      <c r="K53" s="88"/>
      <c r="L53" s="79"/>
      <c r="M53" s="88"/>
      <c r="N53" s="88"/>
      <c r="O53" s="88"/>
      <c r="P53" s="79"/>
      <c r="Q53" s="79"/>
      <c r="R53" s="99"/>
      <c r="S53" s="99"/>
    </row>
    <row r="54" spans="1:19" ht="12.75">
      <c r="A54" s="3"/>
      <c r="B54" s="176"/>
      <c r="C54" s="3"/>
      <c r="D54" s="43"/>
      <c r="E54" s="3"/>
      <c r="F54" s="43"/>
      <c r="G54" s="3"/>
      <c r="H54" s="3"/>
      <c r="I54" s="3"/>
      <c r="J54" s="3"/>
      <c r="K54" s="3"/>
      <c r="L54" s="3"/>
      <c r="M54" s="3"/>
      <c r="N54" s="3"/>
      <c r="O54" s="43"/>
      <c r="P54" s="3"/>
      <c r="Q54" s="43"/>
      <c r="R54" s="99"/>
      <c r="S54" s="99"/>
    </row>
    <row r="55" spans="1:19" ht="12.75">
      <c r="A55" s="3"/>
      <c r="B55" s="172"/>
      <c r="C55" s="3"/>
      <c r="D55" s="43"/>
      <c r="E55" s="3"/>
      <c r="F55" s="43"/>
      <c r="G55" s="3"/>
      <c r="H55" s="3"/>
      <c r="I55" s="3"/>
      <c r="J55" s="3"/>
      <c r="K55" s="3"/>
      <c r="L55" s="3"/>
      <c r="M55" s="3"/>
      <c r="N55" s="3"/>
      <c r="O55" s="3"/>
      <c r="P55" s="3"/>
      <c r="Q55" s="43"/>
      <c r="R55" s="99"/>
      <c r="S55" s="99"/>
    </row>
    <row r="56" spans="1:19" ht="12.75">
      <c r="A56" s="3"/>
      <c r="B56" s="176"/>
      <c r="C56" s="3"/>
      <c r="D56" s="43"/>
      <c r="E56" s="3"/>
      <c r="F56" s="43"/>
      <c r="G56" s="3"/>
      <c r="H56" s="43"/>
      <c r="I56" s="3"/>
      <c r="J56" s="3"/>
      <c r="K56" s="3"/>
      <c r="L56" s="3"/>
      <c r="M56" s="3"/>
      <c r="N56" s="3"/>
      <c r="O56" s="3"/>
      <c r="P56" s="3"/>
      <c r="Q56" s="43"/>
      <c r="R56" s="99"/>
      <c r="S56" s="99"/>
    </row>
    <row r="57" spans="1:19" ht="12.75">
      <c r="A57" s="43"/>
      <c r="B57" s="176"/>
      <c r="C57" s="3"/>
      <c r="D57" s="43"/>
      <c r="E57" s="3"/>
      <c r="F57" s="43"/>
      <c r="G57" s="3"/>
      <c r="H57" s="43"/>
      <c r="I57" s="3"/>
      <c r="J57" s="3"/>
      <c r="K57" s="3"/>
      <c r="L57" s="3"/>
      <c r="M57" s="3"/>
      <c r="N57" s="3"/>
      <c r="O57" s="3"/>
      <c r="P57" s="3"/>
      <c r="Q57" s="43"/>
      <c r="R57" s="99"/>
      <c r="S57" s="99"/>
    </row>
    <row r="58" spans="1:19" ht="12.75">
      <c r="A58" s="3"/>
      <c r="B58" s="176"/>
      <c r="C58" s="3"/>
      <c r="D58" s="43"/>
      <c r="E58" s="3"/>
      <c r="F58" s="43"/>
      <c r="G58" s="3"/>
      <c r="H58" s="43"/>
      <c r="I58" s="3"/>
      <c r="J58" s="3"/>
      <c r="K58" s="3"/>
      <c r="L58" s="3"/>
      <c r="M58" s="3"/>
      <c r="N58" s="3"/>
      <c r="O58" s="3"/>
      <c r="P58" s="3"/>
      <c r="Q58" s="43"/>
      <c r="R58" s="99"/>
      <c r="S58" s="99"/>
    </row>
    <row r="59" spans="1:19" ht="12.75">
      <c r="A59" s="102"/>
      <c r="B59" s="172"/>
      <c r="C59" s="79"/>
      <c r="D59" s="79"/>
      <c r="E59" s="88"/>
      <c r="F59" s="79"/>
      <c r="G59" s="88"/>
      <c r="H59" s="88"/>
      <c r="I59" s="88"/>
      <c r="J59" s="88"/>
      <c r="K59" s="88"/>
      <c r="L59" s="79"/>
      <c r="M59" s="88"/>
      <c r="N59" s="88"/>
      <c r="O59" s="88"/>
      <c r="P59" s="88"/>
      <c r="Q59" s="79"/>
      <c r="R59" s="99"/>
      <c r="S59" s="99"/>
    </row>
    <row r="60" spans="1:19" ht="12.75">
      <c r="A60" s="103"/>
      <c r="B60" s="172"/>
      <c r="C60" s="3"/>
      <c r="D60" s="43"/>
      <c r="E60" s="3"/>
      <c r="F60" s="43"/>
      <c r="G60" s="3"/>
      <c r="H60" s="3"/>
      <c r="I60" s="3"/>
      <c r="J60" s="3"/>
      <c r="K60" s="3"/>
      <c r="L60" s="3"/>
      <c r="M60" s="88"/>
      <c r="N60" s="3"/>
      <c r="O60" s="3"/>
      <c r="P60" s="88"/>
      <c r="Q60" s="79"/>
      <c r="R60" s="99"/>
      <c r="S60" s="99"/>
    </row>
    <row r="61" spans="1:19" ht="12.75">
      <c r="A61" s="104"/>
      <c r="B61" s="176"/>
      <c r="C61" s="3"/>
      <c r="D61" s="43"/>
      <c r="E61" s="3"/>
      <c r="F61" s="43"/>
      <c r="G61" s="3"/>
      <c r="H61" s="3"/>
      <c r="I61" s="3"/>
      <c r="J61" s="3"/>
      <c r="K61" s="3"/>
      <c r="L61" s="3"/>
      <c r="M61" s="3"/>
      <c r="N61" s="3"/>
      <c r="O61" s="3"/>
      <c r="P61" s="3"/>
      <c r="Q61" s="43"/>
      <c r="R61" s="99"/>
      <c r="S61" s="99"/>
    </row>
    <row r="62" spans="1:19" ht="12.75">
      <c r="A62" s="3"/>
      <c r="B62" s="176"/>
      <c r="C62" s="3"/>
      <c r="D62" s="43"/>
      <c r="E62" s="3"/>
      <c r="F62" s="43"/>
      <c r="G62" s="43"/>
      <c r="H62" s="3"/>
      <c r="I62" s="3"/>
      <c r="J62" s="3"/>
      <c r="K62" s="3"/>
      <c r="L62" s="43"/>
      <c r="M62" s="3"/>
      <c r="N62" s="3"/>
      <c r="O62" s="3"/>
      <c r="P62" s="3"/>
      <c r="Q62" s="43"/>
      <c r="R62" s="99"/>
      <c r="S62" s="99"/>
    </row>
    <row r="63" spans="1:19" ht="12.75">
      <c r="A63" s="103"/>
      <c r="B63" s="176"/>
      <c r="C63" s="3"/>
      <c r="D63" s="43"/>
      <c r="E63" s="3"/>
      <c r="F63" s="43"/>
      <c r="G63" s="3"/>
      <c r="H63" s="3"/>
      <c r="I63" s="3"/>
      <c r="J63" s="3"/>
      <c r="K63" s="3"/>
      <c r="L63" s="3"/>
      <c r="M63" s="3"/>
      <c r="N63" s="3"/>
      <c r="O63" s="3"/>
      <c r="P63" s="3"/>
      <c r="Q63" s="43"/>
      <c r="R63" s="99"/>
      <c r="S63" s="99"/>
    </row>
    <row r="64" spans="1:19" ht="12.75">
      <c r="A64" s="104"/>
      <c r="B64" s="176"/>
      <c r="C64" s="3"/>
      <c r="D64" s="43"/>
      <c r="E64" s="43"/>
      <c r="F64" s="4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99"/>
      <c r="S64" s="99"/>
    </row>
    <row r="65" spans="1:19" ht="12.75">
      <c r="A65" s="104"/>
      <c r="B65" s="176"/>
      <c r="C65" s="3"/>
      <c r="D65" s="43"/>
      <c r="E65" s="3"/>
      <c r="F65" s="43"/>
      <c r="G65" s="3"/>
      <c r="H65" s="3"/>
      <c r="I65" s="3"/>
      <c r="J65" s="3"/>
      <c r="K65" s="3"/>
      <c r="L65" s="3"/>
      <c r="M65" s="3"/>
      <c r="N65" s="3"/>
      <c r="O65" s="3"/>
      <c r="P65" s="3"/>
      <c r="Q65" s="43"/>
      <c r="R65" s="99"/>
      <c r="S65" s="99"/>
    </row>
    <row r="66" spans="1:19" ht="12.75">
      <c r="A66" s="104"/>
      <c r="B66" s="176"/>
      <c r="C66" s="3"/>
      <c r="D66" s="43"/>
      <c r="E66" s="3"/>
      <c r="F66" s="43"/>
      <c r="G66" s="3"/>
      <c r="H66" s="3"/>
      <c r="I66" s="3"/>
      <c r="J66" s="3"/>
      <c r="K66" s="3"/>
      <c r="L66" s="3"/>
      <c r="M66" s="3"/>
      <c r="N66" s="3"/>
      <c r="O66" s="3"/>
      <c r="P66" s="3"/>
      <c r="Q66" s="43"/>
      <c r="R66" s="99"/>
      <c r="S66" s="99"/>
    </row>
    <row r="67" spans="1:19" ht="12.75">
      <c r="A67" s="103"/>
      <c r="B67" s="173"/>
      <c r="C67" s="3"/>
      <c r="D67" s="43"/>
      <c r="E67" s="3"/>
      <c r="F67" s="43"/>
      <c r="G67" s="3"/>
      <c r="H67" s="3"/>
      <c r="I67" s="3"/>
      <c r="J67" s="3"/>
      <c r="K67" s="3"/>
      <c r="L67" s="3"/>
      <c r="M67" s="3"/>
      <c r="N67" s="3"/>
      <c r="O67" s="3"/>
      <c r="P67" s="3"/>
      <c r="Q67" s="43"/>
      <c r="R67" s="99"/>
      <c r="S67" s="99"/>
    </row>
    <row r="68" spans="1:19" ht="12.75">
      <c r="A68" s="103"/>
      <c r="B68" s="176"/>
      <c r="C68" s="3"/>
      <c r="D68" s="43"/>
      <c r="E68" s="3"/>
      <c r="F68" s="43"/>
      <c r="G68" s="3"/>
      <c r="H68" s="43"/>
      <c r="I68" s="43"/>
      <c r="J68" s="3"/>
      <c r="K68" s="3"/>
      <c r="L68" s="3"/>
      <c r="M68" s="3"/>
      <c r="N68" s="3"/>
      <c r="O68" s="3"/>
      <c r="P68" s="3"/>
      <c r="Q68" s="43"/>
      <c r="R68" s="99"/>
      <c r="S68" s="99"/>
    </row>
    <row r="69" spans="1:19" ht="12.75">
      <c r="A69" s="103"/>
      <c r="B69" s="176"/>
      <c r="C69" s="3"/>
      <c r="D69" s="43"/>
      <c r="E69" s="3"/>
      <c r="F69" s="43"/>
      <c r="G69" s="3"/>
      <c r="H69" s="3"/>
      <c r="I69" s="3"/>
      <c r="J69" s="3"/>
      <c r="K69" s="3"/>
      <c r="L69" s="3"/>
      <c r="M69" s="3"/>
      <c r="N69" s="3"/>
      <c r="O69" s="3"/>
      <c r="P69" s="3"/>
      <c r="Q69" s="43"/>
      <c r="R69" s="99"/>
      <c r="S69" s="99"/>
    </row>
    <row r="70" spans="1:19" ht="12.75">
      <c r="A70" s="103"/>
      <c r="B70" s="182"/>
      <c r="C70" s="86"/>
      <c r="D70" s="101"/>
      <c r="E70" s="86"/>
      <c r="F70" s="101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101"/>
      <c r="R70" s="82"/>
      <c r="S70" s="82"/>
    </row>
    <row r="71" spans="1:19" ht="12.75">
      <c r="A71" s="103"/>
      <c r="B71" s="182"/>
      <c r="C71" s="86"/>
      <c r="D71" s="101"/>
      <c r="E71" s="86"/>
      <c r="F71" s="101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101"/>
      <c r="R71" s="82"/>
      <c r="S71" s="82"/>
    </row>
    <row r="72" spans="1:19" ht="12.75">
      <c r="A72" s="103"/>
      <c r="B72" s="176"/>
      <c r="C72" s="3"/>
      <c r="D72" s="43"/>
      <c r="E72" s="3"/>
      <c r="F72" s="43"/>
      <c r="G72" s="3"/>
      <c r="H72" s="3"/>
      <c r="I72" s="3"/>
      <c r="J72" s="3"/>
      <c r="K72" s="3"/>
      <c r="L72" s="3"/>
      <c r="M72" s="3"/>
      <c r="N72" s="3"/>
      <c r="O72" s="3"/>
      <c r="P72" s="3"/>
      <c r="Q72" s="43"/>
      <c r="R72" s="99"/>
      <c r="S72" s="99"/>
    </row>
    <row r="73" spans="1:19" ht="12.75">
      <c r="A73" s="103"/>
      <c r="B73" s="176"/>
      <c r="C73" s="3"/>
      <c r="D73" s="43"/>
      <c r="E73" s="3"/>
      <c r="F73" s="43"/>
      <c r="G73" s="3"/>
      <c r="H73" s="3"/>
      <c r="I73" s="3"/>
      <c r="J73" s="3"/>
      <c r="K73" s="3"/>
      <c r="L73" s="3"/>
      <c r="M73" s="3"/>
      <c r="N73" s="3"/>
      <c r="O73" s="3"/>
      <c r="P73" s="3"/>
      <c r="Q73" s="43"/>
      <c r="R73" s="99"/>
      <c r="S73" s="99"/>
    </row>
    <row r="74" spans="1:19" ht="12.75">
      <c r="A74" s="103"/>
      <c r="B74" s="176"/>
      <c r="C74" s="3"/>
      <c r="D74" s="43"/>
      <c r="E74" s="3"/>
      <c r="F74" s="43"/>
      <c r="G74" s="3"/>
      <c r="H74" s="3"/>
      <c r="I74" s="3"/>
      <c r="J74" s="3"/>
      <c r="K74" s="3"/>
      <c r="L74" s="3"/>
      <c r="M74" s="3"/>
      <c r="N74" s="3"/>
      <c r="O74" s="3"/>
      <c r="P74" s="3"/>
      <c r="Q74" s="43"/>
      <c r="R74" s="99"/>
      <c r="S74" s="99"/>
    </row>
    <row r="75" spans="1:19" ht="12.75">
      <c r="A75" s="103"/>
      <c r="B75" s="176"/>
      <c r="C75" s="3"/>
      <c r="D75" s="43"/>
      <c r="E75" s="3"/>
      <c r="F75" s="43"/>
      <c r="G75" s="3"/>
      <c r="H75" s="3"/>
      <c r="I75" s="3"/>
      <c r="J75" s="3"/>
      <c r="K75" s="3"/>
      <c r="L75" s="3"/>
      <c r="M75" s="3"/>
      <c r="N75" s="3"/>
      <c r="O75" s="3"/>
      <c r="P75" s="3"/>
      <c r="Q75" s="43"/>
      <c r="R75" s="99"/>
      <c r="S75" s="99"/>
    </row>
    <row r="76" spans="1:19" ht="12.75">
      <c r="A76" s="103"/>
      <c r="B76" s="182"/>
      <c r="C76" s="86"/>
      <c r="D76" s="101"/>
      <c r="E76" s="86"/>
      <c r="F76" s="101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101"/>
      <c r="R76" s="82"/>
      <c r="S76" s="82"/>
    </row>
    <row r="77" spans="1:19" ht="12.75">
      <c r="A77" s="103"/>
      <c r="B77" s="176"/>
      <c r="C77" s="3"/>
      <c r="D77" s="43"/>
      <c r="E77" s="3"/>
      <c r="F77" s="43"/>
      <c r="G77" s="3"/>
      <c r="H77" s="3"/>
      <c r="I77" s="3"/>
      <c r="J77" s="3"/>
      <c r="K77" s="3"/>
      <c r="L77" s="3"/>
      <c r="M77" s="3"/>
      <c r="N77" s="3"/>
      <c r="O77" s="3"/>
      <c r="P77" s="3"/>
      <c r="Q77" s="43"/>
      <c r="R77" s="99"/>
      <c r="S77" s="99"/>
    </row>
    <row r="78" spans="1:19" ht="12.75">
      <c r="A78" s="103"/>
      <c r="B78" s="176"/>
      <c r="C78" s="3"/>
      <c r="D78" s="43"/>
      <c r="E78" s="3"/>
      <c r="F78" s="43"/>
      <c r="G78" s="3"/>
      <c r="H78" s="3"/>
      <c r="I78" s="3"/>
      <c r="J78" s="3"/>
      <c r="K78" s="3"/>
      <c r="L78" s="3"/>
      <c r="M78" s="3"/>
      <c r="N78" s="3"/>
      <c r="O78" s="3"/>
      <c r="P78" s="3"/>
      <c r="Q78" s="43"/>
      <c r="R78" s="99"/>
      <c r="S78" s="99"/>
    </row>
    <row r="79" spans="1:19" ht="12.75">
      <c r="A79" s="103"/>
      <c r="B79" s="176"/>
      <c r="C79" s="3"/>
      <c r="D79" s="43"/>
      <c r="E79" s="3"/>
      <c r="F79" s="43"/>
      <c r="G79" s="3"/>
      <c r="H79" s="3"/>
      <c r="I79" s="3"/>
      <c r="J79" s="3"/>
      <c r="K79" s="3"/>
      <c r="L79" s="3"/>
      <c r="M79" s="3"/>
      <c r="N79" s="3"/>
      <c r="O79" s="3"/>
      <c r="P79" s="3"/>
      <c r="Q79" s="43"/>
      <c r="R79" s="99"/>
      <c r="S79" s="99"/>
    </row>
    <row r="80" spans="1:19" ht="12.75">
      <c r="A80" s="103"/>
      <c r="B80" s="176"/>
      <c r="C80" s="3"/>
      <c r="D80" s="43"/>
      <c r="E80" s="3"/>
      <c r="F80" s="43"/>
      <c r="G80" s="3"/>
      <c r="H80" s="3"/>
      <c r="I80" s="3"/>
      <c r="J80" s="3"/>
      <c r="K80" s="3"/>
      <c r="L80" s="3"/>
      <c r="M80" s="3"/>
      <c r="N80" s="3"/>
      <c r="O80" s="3"/>
      <c r="P80" s="3"/>
      <c r="Q80" s="43"/>
      <c r="R80" s="99"/>
      <c r="S80" s="99"/>
    </row>
    <row r="81" spans="1:19" ht="12.75">
      <c r="A81" s="103"/>
      <c r="B81" s="176"/>
      <c r="C81" s="3"/>
      <c r="D81" s="43"/>
      <c r="E81" s="3"/>
      <c r="F81" s="43"/>
      <c r="G81" s="3"/>
      <c r="H81" s="3"/>
      <c r="I81" s="3"/>
      <c r="J81" s="3"/>
      <c r="K81" s="3"/>
      <c r="L81" s="3"/>
      <c r="M81" s="3"/>
      <c r="N81" s="3"/>
      <c r="O81" s="3"/>
      <c r="P81" s="3"/>
      <c r="Q81" s="43"/>
      <c r="R81" s="99"/>
      <c r="S81" s="99"/>
    </row>
    <row r="82" spans="1:19" ht="12.75">
      <c r="A82" s="103"/>
      <c r="B82" s="176"/>
      <c r="C82" s="3"/>
      <c r="D82" s="43"/>
      <c r="E82" s="3"/>
      <c r="F82" s="43"/>
      <c r="G82" s="3"/>
      <c r="H82" s="3"/>
      <c r="I82" s="3"/>
      <c r="J82" s="3"/>
      <c r="K82" s="3"/>
      <c r="L82" s="3"/>
      <c r="M82" s="3"/>
      <c r="N82" s="3"/>
      <c r="O82" s="3"/>
      <c r="P82" s="3"/>
      <c r="Q82" s="43"/>
      <c r="R82" s="99"/>
      <c r="S82" s="99"/>
    </row>
    <row r="83" spans="1:19" ht="12.75">
      <c r="A83" s="103"/>
      <c r="B83" s="176"/>
      <c r="C83" s="3"/>
      <c r="D83" s="43"/>
      <c r="E83" s="3"/>
      <c r="F83" s="43"/>
      <c r="G83" s="3"/>
      <c r="H83" s="3"/>
      <c r="I83" s="3"/>
      <c r="J83" s="3"/>
      <c r="K83" s="3"/>
      <c r="L83" s="3"/>
      <c r="M83" s="3"/>
      <c r="N83" s="3"/>
      <c r="O83" s="3"/>
      <c r="P83" s="3"/>
      <c r="Q83" s="43"/>
      <c r="R83" s="99"/>
      <c r="S83" s="99"/>
    </row>
    <row r="84" spans="1:19" ht="12.75">
      <c r="A84" s="103"/>
      <c r="B84" s="176"/>
      <c r="C84" s="3"/>
      <c r="D84" s="43"/>
      <c r="E84" s="3"/>
      <c r="F84" s="43"/>
      <c r="G84" s="3"/>
      <c r="H84" s="3"/>
      <c r="I84" s="3"/>
      <c r="J84" s="3"/>
      <c r="K84" s="3"/>
      <c r="L84" s="3"/>
      <c r="M84" s="3"/>
      <c r="N84" s="3"/>
      <c r="O84" s="3"/>
      <c r="P84" s="3"/>
      <c r="Q84" s="43"/>
      <c r="R84" s="99"/>
      <c r="S84" s="99"/>
    </row>
    <row r="85" spans="1:19" ht="12.75">
      <c r="A85" s="80"/>
      <c r="B85" s="172"/>
      <c r="C85" s="88"/>
      <c r="D85" s="88"/>
      <c r="E85" s="88"/>
      <c r="F85" s="79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99"/>
      <c r="S85" s="99"/>
    </row>
    <row r="86" spans="1:19" ht="12.75">
      <c r="A86" s="87"/>
      <c r="B86" s="172"/>
      <c r="C86" s="88"/>
      <c r="D86" s="79"/>
      <c r="E86" s="88"/>
      <c r="F86" s="79"/>
      <c r="G86" s="88"/>
      <c r="H86" s="79"/>
      <c r="I86" s="88"/>
      <c r="J86" s="88"/>
      <c r="K86" s="88"/>
      <c r="L86" s="79"/>
      <c r="M86" s="88"/>
      <c r="N86" s="88"/>
      <c r="O86" s="88"/>
      <c r="P86" s="79"/>
      <c r="Q86" s="79"/>
      <c r="R86" s="99"/>
      <c r="S86" s="99"/>
    </row>
    <row r="87" spans="1:19" ht="12.75">
      <c r="A87" s="86"/>
      <c r="B87" s="17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99"/>
      <c r="S87" s="99"/>
    </row>
    <row r="88" spans="1:19" ht="12.75">
      <c r="A88" s="3"/>
      <c r="B88" s="17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99"/>
      <c r="S88" s="99"/>
    </row>
    <row r="89" spans="1:19" ht="12.75">
      <c r="A89" s="3"/>
      <c r="B89" s="17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99"/>
      <c r="S89" s="99"/>
    </row>
    <row r="90" spans="1:19" ht="12.75">
      <c r="A90" s="3"/>
      <c r="B90" s="17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99"/>
      <c r="S90" s="99"/>
    </row>
    <row r="91" spans="1:19" ht="15.75">
      <c r="A91" s="1"/>
      <c r="B91" s="164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291"/>
      <c r="S91" s="291"/>
    </row>
    <row r="92" spans="1:19" ht="15.75">
      <c r="A92" s="1"/>
      <c r="B92" s="164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291"/>
      <c r="S92" s="291"/>
    </row>
    <row r="93" spans="1:19" ht="12.75">
      <c r="A93" s="58"/>
      <c r="B93" s="164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291"/>
      <c r="S93" s="291"/>
    </row>
    <row r="94" spans="1:19" ht="12.75">
      <c r="A94" s="88"/>
      <c r="B94" s="74"/>
      <c r="C94" s="202"/>
      <c r="D94" s="202"/>
      <c r="E94" s="202"/>
      <c r="F94" s="202"/>
      <c r="G94" s="202"/>
      <c r="H94" s="202"/>
      <c r="I94" s="202"/>
      <c r="J94" s="202"/>
      <c r="K94" s="202"/>
      <c r="L94" s="202"/>
      <c r="M94" s="202"/>
      <c r="N94" s="202"/>
      <c r="O94" s="202"/>
      <c r="P94" s="202"/>
      <c r="Q94" s="202"/>
      <c r="R94" s="292"/>
      <c r="S94" s="292"/>
    </row>
    <row r="95" spans="1:19" ht="12.75">
      <c r="A95" s="14"/>
      <c r="B95" s="7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293"/>
      <c r="S95" s="293"/>
    </row>
    <row r="96" spans="1:19" ht="12.75">
      <c r="A96" s="3"/>
      <c r="B96" s="17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99"/>
      <c r="S96" s="99"/>
    </row>
    <row r="97" spans="1:19" ht="12.75">
      <c r="A97" s="88"/>
      <c r="B97" s="172"/>
      <c r="C97" s="88"/>
      <c r="D97" s="79"/>
      <c r="E97" s="88"/>
      <c r="F97" s="79"/>
      <c r="G97" s="88"/>
      <c r="H97" s="88"/>
      <c r="I97" s="88"/>
      <c r="J97" s="79"/>
      <c r="K97" s="79"/>
      <c r="L97" s="79"/>
      <c r="M97" s="88"/>
      <c r="N97" s="88"/>
      <c r="O97" s="88"/>
      <c r="P97" s="88"/>
      <c r="Q97" s="79"/>
      <c r="R97" s="99"/>
      <c r="S97" s="99"/>
    </row>
    <row r="98" spans="1:19" ht="12.75">
      <c r="A98" s="3"/>
      <c r="B98" s="172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99"/>
      <c r="S98" s="99"/>
    </row>
    <row r="99" spans="1:19" ht="12.75">
      <c r="A99" s="88"/>
      <c r="B99" s="172"/>
      <c r="C99" s="88"/>
      <c r="D99" s="79"/>
      <c r="E99" s="88"/>
      <c r="F99" s="79"/>
      <c r="G99" s="88"/>
      <c r="H99" s="88"/>
      <c r="I99" s="88"/>
      <c r="J99" s="88"/>
      <c r="K99" s="88"/>
      <c r="L99" s="79"/>
      <c r="M99" s="88"/>
      <c r="N99" s="88"/>
      <c r="O99" s="88"/>
      <c r="P99" s="79"/>
      <c r="Q99" s="79"/>
      <c r="R99" s="99"/>
      <c r="S99" s="99"/>
    </row>
    <row r="100" spans="1:19" ht="12.75">
      <c r="A100" s="3"/>
      <c r="B100" s="176"/>
      <c r="C100" s="3"/>
      <c r="D100" s="43"/>
      <c r="E100" s="3"/>
      <c r="F100" s="43"/>
      <c r="G100" s="3"/>
      <c r="H100" s="3"/>
      <c r="I100" s="3"/>
      <c r="J100" s="3"/>
      <c r="K100" s="3"/>
      <c r="L100" s="3"/>
      <c r="M100" s="3"/>
      <c r="N100" s="3"/>
      <c r="O100" s="43"/>
      <c r="P100" s="3"/>
      <c r="Q100" s="43"/>
      <c r="R100" s="99"/>
      <c r="S100" s="99"/>
    </row>
    <row r="101" spans="1:19" ht="12.75">
      <c r="A101" s="3"/>
      <c r="B101" s="172"/>
      <c r="C101" s="3"/>
      <c r="D101" s="43"/>
      <c r="E101" s="3"/>
      <c r="F101" s="4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43"/>
      <c r="R101" s="99"/>
      <c r="S101" s="99"/>
    </row>
    <row r="102" spans="1:19" ht="12.75">
      <c r="A102" s="3"/>
      <c r="B102" s="176"/>
      <c r="C102" s="3"/>
      <c r="D102" s="43"/>
      <c r="E102" s="3"/>
      <c r="F102" s="43"/>
      <c r="G102" s="3"/>
      <c r="H102" s="43"/>
      <c r="I102" s="3"/>
      <c r="J102" s="3"/>
      <c r="K102" s="3"/>
      <c r="L102" s="3"/>
      <c r="M102" s="3"/>
      <c r="N102" s="3"/>
      <c r="O102" s="3"/>
      <c r="P102" s="3"/>
      <c r="Q102" s="43"/>
      <c r="R102" s="99"/>
      <c r="S102" s="99"/>
    </row>
    <row r="103" spans="1:19" ht="12.75">
      <c r="A103" s="43"/>
      <c r="B103" s="176"/>
      <c r="C103" s="3"/>
      <c r="D103" s="43"/>
      <c r="E103" s="3"/>
      <c r="F103" s="43"/>
      <c r="G103" s="3"/>
      <c r="H103" s="43"/>
      <c r="I103" s="3"/>
      <c r="J103" s="3"/>
      <c r="K103" s="3"/>
      <c r="L103" s="3"/>
      <c r="M103" s="3"/>
      <c r="N103" s="3"/>
      <c r="O103" s="3"/>
      <c r="P103" s="3"/>
      <c r="Q103" s="43"/>
      <c r="R103" s="99"/>
      <c r="S103" s="99"/>
    </row>
    <row r="104" spans="1:19" ht="12.75">
      <c r="A104" s="3"/>
      <c r="B104" s="176"/>
      <c r="C104" s="3"/>
      <c r="D104" s="43"/>
      <c r="E104" s="3"/>
      <c r="F104" s="43"/>
      <c r="G104" s="3"/>
      <c r="H104" s="43"/>
      <c r="I104" s="3"/>
      <c r="J104" s="3"/>
      <c r="K104" s="3"/>
      <c r="L104" s="3"/>
      <c r="M104" s="3"/>
      <c r="N104" s="3"/>
      <c r="O104" s="3"/>
      <c r="P104" s="3"/>
      <c r="Q104" s="43"/>
      <c r="R104" s="99"/>
      <c r="S104" s="99"/>
    </row>
    <row r="105" spans="1:19" ht="12.75">
      <c r="A105" s="102"/>
      <c r="B105" s="172"/>
      <c r="C105" s="79"/>
      <c r="D105" s="79"/>
      <c r="E105" s="88"/>
      <c r="F105" s="79"/>
      <c r="G105" s="88"/>
      <c r="H105" s="88"/>
      <c r="I105" s="88"/>
      <c r="J105" s="88"/>
      <c r="K105" s="88"/>
      <c r="L105" s="79"/>
      <c r="M105" s="88"/>
      <c r="N105" s="88"/>
      <c r="O105" s="88"/>
      <c r="P105" s="88"/>
      <c r="Q105" s="79"/>
      <c r="R105" s="99"/>
      <c r="S105" s="99"/>
    </row>
    <row r="106" spans="1:19" ht="12.75">
      <c r="A106" s="103"/>
      <c r="B106" s="172"/>
      <c r="C106" s="3"/>
      <c r="D106" s="43"/>
      <c r="E106" s="3"/>
      <c r="F106" s="43"/>
      <c r="G106" s="3"/>
      <c r="H106" s="3"/>
      <c r="I106" s="3"/>
      <c r="J106" s="3"/>
      <c r="K106" s="3"/>
      <c r="L106" s="3"/>
      <c r="M106" s="88"/>
      <c r="N106" s="3"/>
      <c r="O106" s="3"/>
      <c r="P106" s="88"/>
      <c r="Q106" s="79"/>
      <c r="R106" s="99"/>
      <c r="S106" s="99"/>
    </row>
    <row r="107" spans="1:19" ht="12.75">
      <c r="A107" s="104"/>
      <c r="B107" s="176"/>
      <c r="C107" s="3"/>
      <c r="D107" s="43"/>
      <c r="E107" s="3"/>
      <c r="F107" s="4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43"/>
      <c r="R107" s="99"/>
      <c r="S107" s="99"/>
    </row>
    <row r="108" spans="1:19" ht="12.75">
      <c r="A108" s="3"/>
      <c r="B108" s="176"/>
      <c r="C108" s="3"/>
      <c r="D108" s="43"/>
      <c r="E108" s="3"/>
      <c r="F108" s="43"/>
      <c r="G108" s="43"/>
      <c r="H108" s="3"/>
      <c r="I108" s="3"/>
      <c r="J108" s="3"/>
      <c r="K108" s="3"/>
      <c r="L108" s="43"/>
      <c r="M108" s="3"/>
      <c r="N108" s="3"/>
      <c r="O108" s="3"/>
      <c r="P108" s="3"/>
      <c r="Q108" s="43"/>
      <c r="R108" s="99"/>
      <c r="S108" s="99"/>
    </row>
    <row r="109" spans="1:19" ht="12.75">
      <c r="A109" s="103"/>
      <c r="B109" s="176"/>
      <c r="C109" s="3"/>
      <c r="D109" s="43"/>
      <c r="E109" s="3"/>
      <c r="F109" s="4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43"/>
      <c r="R109" s="99"/>
      <c r="S109" s="99"/>
    </row>
    <row r="110" spans="1:19" ht="12.75">
      <c r="A110" s="104"/>
      <c r="B110" s="176"/>
      <c r="C110" s="3"/>
      <c r="D110" s="43"/>
      <c r="E110" s="43"/>
      <c r="F110" s="4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99"/>
      <c r="S110" s="99"/>
    </row>
    <row r="111" spans="1:19" ht="12.75">
      <c r="A111" s="104"/>
      <c r="B111" s="176"/>
      <c r="C111" s="3"/>
      <c r="D111" s="43"/>
      <c r="E111" s="3"/>
      <c r="F111" s="4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43"/>
      <c r="R111" s="99"/>
      <c r="S111" s="99"/>
    </row>
    <row r="112" spans="1:19" ht="12.75">
      <c r="A112" s="104"/>
      <c r="B112" s="176"/>
      <c r="C112" s="3"/>
      <c r="D112" s="43"/>
      <c r="E112" s="3"/>
      <c r="F112" s="4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43"/>
      <c r="R112" s="99"/>
      <c r="S112" s="99"/>
    </row>
    <row r="113" spans="1:19" ht="12.75">
      <c r="A113" s="103"/>
      <c r="B113" s="173"/>
      <c r="C113" s="3"/>
      <c r="D113" s="43"/>
      <c r="E113" s="3"/>
      <c r="F113" s="4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43"/>
      <c r="R113" s="99"/>
      <c r="S113" s="99"/>
    </row>
    <row r="114" spans="1:19" ht="12.75">
      <c r="A114" s="103"/>
      <c r="B114" s="176"/>
      <c r="C114" s="3"/>
      <c r="D114" s="43"/>
      <c r="E114" s="3"/>
      <c r="F114" s="43"/>
      <c r="G114" s="3"/>
      <c r="H114" s="43"/>
      <c r="I114" s="43"/>
      <c r="J114" s="3"/>
      <c r="K114" s="3"/>
      <c r="L114" s="3"/>
      <c r="M114" s="3"/>
      <c r="N114" s="3"/>
      <c r="O114" s="3"/>
      <c r="P114" s="3"/>
      <c r="Q114" s="43"/>
      <c r="R114" s="99"/>
      <c r="S114" s="99"/>
    </row>
    <row r="115" spans="1:19" ht="12.75">
      <c r="A115" s="103"/>
      <c r="B115" s="176"/>
      <c r="C115" s="3"/>
      <c r="D115" s="43"/>
      <c r="E115" s="3"/>
      <c r="F115" s="4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43"/>
      <c r="R115" s="99"/>
      <c r="S115" s="99"/>
    </row>
    <row r="116" spans="1:19" ht="12.75">
      <c r="A116" s="103"/>
      <c r="B116" s="182"/>
      <c r="C116" s="86"/>
      <c r="D116" s="101"/>
      <c r="E116" s="86"/>
      <c r="F116" s="101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101"/>
      <c r="R116" s="82"/>
      <c r="S116" s="82"/>
    </row>
    <row r="117" spans="1:19" ht="12.75">
      <c r="A117" s="103"/>
      <c r="B117" s="182"/>
      <c r="C117" s="86"/>
      <c r="D117" s="101"/>
      <c r="E117" s="86"/>
      <c r="F117" s="101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101"/>
      <c r="R117" s="82"/>
      <c r="S117" s="82"/>
    </row>
    <row r="118" spans="1:19" ht="12.75">
      <c r="A118" s="103"/>
      <c r="B118" s="176"/>
      <c r="C118" s="3"/>
      <c r="D118" s="43"/>
      <c r="E118" s="3"/>
      <c r="F118" s="4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43"/>
      <c r="R118" s="99"/>
      <c r="S118" s="99"/>
    </row>
    <row r="119" spans="1:19" ht="12.75">
      <c r="A119" s="103"/>
      <c r="B119" s="176"/>
      <c r="C119" s="3"/>
      <c r="D119" s="43"/>
      <c r="E119" s="3"/>
      <c r="F119" s="4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43"/>
      <c r="R119" s="99"/>
      <c r="S119" s="99"/>
    </row>
    <row r="120" spans="1:19" ht="12.75">
      <c r="A120" s="103"/>
      <c r="B120" s="176"/>
      <c r="C120" s="3"/>
      <c r="D120" s="43"/>
      <c r="E120" s="3"/>
      <c r="F120" s="4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43"/>
      <c r="R120" s="99"/>
      <c r="S120" s="99"/>
    </row>
    <row r="121" spans="1:19" ht="12.75">
      <c r="A121" s="103"/>
      <c r="B121" s="176"/>
      <c r="C121" s="3"/>
      <c r="D121" s="43"/>
      <c r="E121" s="3"/>
      <c r="F121" s="4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43"/>
      <c r="R121" s="99"/>
      <c r="S121" s="99"/>
    </row>
    <row r="122" spans="1:19" ht="12.75">
      <c r="A122" s="103"/>
      <c r="B122" s="182"/>
      <c r="C122" s="86"/>
      <c r="D122" s="101"/>
      <c r="E122" s="86"/>
      <c r="F122" s="101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101"/>
      <c r="R122" s="82"/>
      <c r="S122" s="82"/>
    </row>
    <row r="123" spans="1:19" ht="12.75">
      <c r="A123" s="103"/>
      <c r="B123" s="176"/>
      <c r="C123" s="3"/>
      <c r="D123" s="43"/>
      <c r="E123" s="3"/>
      <c r="F123" s="4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43"/>
      <c r="R123" s="99"/>
      <c r="S123" s="99"/>
    </row>
    <row r="124" spans="1:19" ht="12.75">
      <c r="A124" s="103"/>
      <c r="B124" s="176"/>
      <c r="C124" s="3"/>
      <c r="D124" s="43"/>
      <c r="E124" s="3"/>
      <c r="F124" s="4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43"/>
      <c r="R124" s="99"/>
      <c r="S124" s="99"/>
    </row>
    <row r="125" spans="1:19" ht="12.75">
      <c r="A125" s="103"/>
      <c r="B125" s="176"/>
      <c r="C125" s="3"/>
      <c r="D125" s="43"/>
      <c r="E125" s="3"/>
      <c r="F125" s="4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43"/>
      <c r="R125" s="99"/>
      <c r="S125" s="99"/>
    </row>
    <row r="126" spans="1:19" ht="12.75">
      <c r="A126" s="103"/>
      <c r="B126" s="176"/>
      <c r="C126" s="3"/>
      <c r="D126" s="43"/>
      <c r="E126" s="3"/>
      <c r="F126" s="4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43"/>
      <c r="R126" s="99"/>
      <c r="S126" s="99"/>
    </row>
    <row r="127" spans="1:19" ht="12.75">
      <c r="A127" s="103"/>
      <c r="B127" s="176"/>
      <c r="C127" s="3"/>
      <c r="D127" s="43"/>
      <c r="E127" s="3"/>
      <c r="F127" s="4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43"/>
      <c r="R127" s="99"/>
      <c r="S127" s="99"/>
    </row>
    <row r="128" spans="1:19" ht="12.75">
      <c r="A128" s="103"/>
      <c r="B128" s="176"/>
      <c r="C128" s="3"/>
      <c r="D128" s="43"/>
      <c r="E128" s="3"/>
      <c r="F128" s="4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43"/>
      <c r="R128" s="99"/>
      <c r="S128" s="99"/>
    </row>
    <row r="129" spans="1:19" ht="12.75">
      <c r="A129" s="103"/>
      <c r="B129" s="176"/>
      <c r="C129" s="3"/>
      <c r="D129" s="43"/>
      <c r="E129" s="3"/>
      <c r="F129" s="4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43"/>
      <c r="R129" s="99"/>
      <c r="S129" s="99"/>
    </row>
    <row r="130" spans="1:19" ht="12.75">
      <c r="A130" s="103"/>
      <c r="B130" s="176"/>
      <c r="C130" s="3"/>
      <c r="D130" s="43"/>
      <c r="E130" s="3"/>
      <c r="F130" s="4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43"/>
      <c r="R130" s="99"/>
      <c r="S130" s="99"/>
    </row>
    <row r="131" spans="1:19" ht="12.75">
      <c r="A131" s="80"/>
      <c r="B131" s="172"/>
      <c r="C131" s="88"/>
      <c r="D131" s="88"/>
      <c r="E131" s="88"/>
      <c r="F131" s="79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99"/>
      <c r="S131" s="99"/>
    </row>
    <row r="132" spans="1:19" ht="12.75">
      <c r="A132" s="87"/>
      <c r="B132" s="172"/>
      <c r="C132" s="88"/>
      <c r="D132" s="79"/>
      <c r="E132" s="88"/>
      <c r="F132" s="79"/>
      <c r="G132" s="88"/>
      <c r="H132" s="79"/>
      <c r="I132" s="88"/>
      <c r="J132" s="88"/>
      <c r="K132" s="88"/>
      <c r="L132" s="79"/>
      <c r="M132" s="88"/>
      <c r="N132" s="88"/>
      <c r="O132" s="88"/>
      <c r="P132" s="79"/>
      <c r="Q132" s="79"/>
      <c r="R132" s="99"/>
      <c r="S132" s="99"/>
    </row>
    <row r="133" spans="1:19" ht="12.75">
      <c r="A133" s="86"/>
      <c r="B133" s="17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99"/>
      <c r="S133" s="99"/>
    </row>
    <row r="134" spans="1:19" ht="12.75">
      <c r="A134" s="3"/>
      <c r="B134" s="17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99"/>
      <c r="S134" s="99"/>
    </row>
    <row r="135" spans="1:19" ht="12.75">
      <c r="A135" s="3"/>
      <c r="B135" s="17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99"/>
      <c r="S135" s="99"/>
    </row>
    <row r="136" spans="1:19" ht="12.75">
      <c r="A136" s="3"/>
      <c r="B136" s="17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99"/>
      <c r="S136" s="99"/>
    </row>
    <row r="137" spans="1:19" ht="12.75">
      <c r="A137" s="3"/>
      <c r="B137" s="17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99"/>
      <c r="S137" s="99"/>
    </row>
    <row r="138" spans="1:19" ht="12.75">
      <c r="A138" s="3"/>
      <c r="B138" s="17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99"/>
      <c r="S138" s="99"/>
    </row>
    <row r="139" spans="1:19" ht="12.75">
      <c r="A139" s="3"/>
      <c r="B139" s="17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99"/>
      <c r="S139" s="99"/>
    </row>
    <row r="140" spans="1:19" ht="12.75">
      <c r="A140" s="3"/>
      <c r="B140" s="17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99"/>
      <c r="S140" s="99"/>
    </row>
    <row r="141" spans="1:19" ht="12.75">
      <c r="A141" s="3"/>
      <c r="B141" s="17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99"/>
      <c r="S141" s="99"/>
    </row>
  </sheetData>
  <sheetProtection/>
  <mergeCells count="15">
    <mergeCell ref="DE7:DP7"/>
    <mergeCell ref="CN7:CY7"/>
    <mergeCell ref="CJ7:CM7"/>
    <mergeCell ref="BS7:BV7"/>
    <mergeCell ref="BW7:CH7"/>
    <mergeCell ref="DQ7:EG7"/>
    <mergeCell ref="DA7:DD7"/>
    <mergeCell ref="BB7:BE7"/>
    <mergeCell ref="BF7:BQ7"/>
    <mergeCell ref="C7:F7"/>
    <mergeCell ref="G7:R7"/>
    <mergeCell ref="T7:W7"/>
    <mergeCell ref="X7:AI7"/>
    <mergeCell ref="AK7:AN7"/>
    <mergeCell ref="AO7:AZ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НИТ</dc:creator>
  <cp:keywords/>
  <dc:description/>
  <cp:lastModifiedBy>Калия Абдылдабекова</cp:lastModifiedBy>
  <cp:lastPrinted>2018-01-05T03:03:41Z</cp:lastPrinted>
  <dcterms:created xsi:type="dcterms:W3CDTF">1998-11-02T04:41:30Z</dcterms:created>
  <dcterms:modified xsi:type="dcterms:W3CDTF">2022-06-15T09:05:43Z</dcterms:modified>
  <cp:category/>
  <cp:version/>
  <cp:contentType/>
  <cp:contentStatus/>
</cp:coreProperties>
</file>